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queryTables/queryTable16.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queryTables/queryTable14.xml" ContentType="application/vnd.openxmlformats-officedocument.spreadsheetml.queryTable+xml"/>
  <Override PartName="/xl/queryTables/queryTable15.xml" ContentType="application/vnd.openxmlformats-officedocument.spreadsheetml.query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connections.xml" ContentType="application/vnd.openxmlformats-officedocument.spreadsheetml.connections+xml"/>
  <Override PartName="/xl/queryTables/queryTable9.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queryTables/queryTable5.xml" ContentType="application/vnd.openxmlformats-officedocument.spreadsheetml.queryTable+xml"/>
  <Override PartName="/xl/queryTables/queryTable6.xml" ContentType="application/vnd.openxmlformats-officedocument.spreadsheetml.queryTable+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queryTables/queryTable3.xml" ContentType="application/vnd.openxmlformats-officedocument.spreadsheetml.queryTable+xml"/>
  <Override PartName="/xl/queryTables/queryTable4.xml" ContentType="application/vnd.openxmlformats-officedocument.spreadsheetml.query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bookViews>
    <workbookView xWindow="90" yWindow="0" windowWidth="9495" windowHeight="11010"/>
  </bookViews>
  <sheets>
    <sheet name="SCH Data" sheetId="6" r:id="rId1"/>
    <sheet name="Tables" sheetId="14" r:id="rId2"/>
    <sheet name="FTE Pivot for regular counts" sheetId="9" r:id="rId3"/>
    <sheet name="Sheet1" sheetId="17" r:id="rId4"/>
    <sheet name="Sheet2" sheetId="18" r:id="rId5"/>
    <sheet name="Pivot-HS Student % of Undergrad" sheetId="16" r:id="rId6"/>
  </sheets>
  <definedNames>
    <definedName name="APPHEAD">#REF!</definedName>
    <definedName name="CHHEAD">#REF!</definedName>
    <definedName name="Dual07" localSheetId="0">'SCH Data'!$Q$388:$Q$490</definedName>
    <definedName name="Dual08" localSheetId="0">'SCH Data'!$U$388:$U$490</definedName>
    <definedName name="JrCH08ug1" localSheetId="0">'SCH Data'!$X$423:$X$490</definedName>
    <definedName name="JrCH08ug2" localSheetId="0">'SCH Data'!$Z$423:$Z$490</definedName>
    <definedName name="JrCH08ug3" localSheetId="0">'SCH Data'!$AB$423:$AB$490</definedName>
    <definedName name="JrCH08ug4" localSheetId="0">'SCH Data'!$AD$423:$AD$490</definedName>
    <definedName name="JrSCH08ug1" localSheetId="0">'SCH Data'!$H$423:$H$490</definedName>
    <definedName name="JrSCH08ug2" localSheetId="0">'SCH Data'!$J$423:$J$490</definedName>
    <definedName name="JrSCH08ug3" localSheetId="0">'SCH Data'!$L$423:$L$490</definedName>
    <definedName name="JrSCH08ug4" localSheetId="0">'SCH Data'!$N$423:$N$490</definedName>
    <definedName name="PAGE_17">#REF!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2">#REF!</definedName>
    <definedName name="PAGE20">#REF!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RT1">#REF!</definedName>
    <definedName name="PART2">#REF!</definedName>
    <definedName name="PART3">#REF!</definedName>
    <definedName name="PART4A">#REF!</definedName>
    <definedName name="PART4B">#REF!</definedName>
    <definedName name="PART5">#REF!</definedName>
    <definedName name="PART6A">#REF!</definedName>
    <definedName name="PART6B">#REF!</definedName>
    <definedName name="PART6C">#REF!</definedName>
    <definedName name="PART7B">#REF!</definedName>
    <definedName name="PART7C">#REF!</definedName>
    <definedName name="PART8">#REF!</definedName>
    <definedName name="_xlnm.Print_Area" localSheetId="2">'FTE Pivot for regular counts'!$C$5:$R$196</definedName>
    <definedName name="_xlnm.Print_Area" localSheetId="5">'Pivot-HS Student % of Undergrad'!$C$6:$T$101</definedName>
    <definedName name="_xlnm.Print_Area" localSheetId="0">'SCH Data'!#REF!</definedName>
    <definedName name="_xlnm.Print_Area" localSheetId="1">Tables!$A$1:$O$216</definedName>
    <definedName name="_xlnm.Print_Area">#REF!</definedName>
    <definedName name="_xlnm.Print_Titles" localSheetId="2">'FTE Pivot for regular counts'!$A:$B,'FTE Pivot for regular counts'!$2:$4</definedName>
    <definedName name="_xlnm.Print_Titles" localSheetId="5">'Pivot-HS Student % of Undergrad'!$A:$B,'Pivot-HS Student % of Undergrad'!$4:$5</definedName>
    <definedName name="_xlnm.Print_Titles" localSheetId="0">'SCH Data'!$B:$B</definedName>
    <definedName name="RATIONALE">#REF!</definedName>
    <definedName name="RATIONALE2">#REF!</definedName>
    <definedName name="SALHEAD">#REF!</definedName>
    <definedName name="SrSCH08gr2" localSheetId="0">'SCH Data'!$AP$388:$AP$422</definedName>
    <definedName name="SrSCH08gr3" localSheetId="0">'SCH Data'!$AR$388:$AR$422</definedName>
    <definedName name="SrSCH08gr4" localSheetId="0">'SCH Data'!$AT$388:$AT$422</definedName>
    <definedName name="SrSCH08ug2" localSheetId="0">'SCH Data'!$J$388:$J$422</definedName>
    <definedName name="SrSCH08ug3" localSheetId="0">'SCH Data'!$L$388:$L$422</definedName>
    <definedName name="SrSCH08ug4" localSheetId="0">'SCH Data'!$N$388:$N$422</definedName>
  </definedNames>
  <calcPr calcId="125725"/>
  <pivotCaches>
    <pivotCache cacheId="1" r:id="rId7"/>
    <pivotCache cacheId="2" r:id="rId8"/>
  </pivotCaches>
</workbook>
</file>

<file path=xl/calcChain.xml><?xml version="1.0" encoding="utf-8"?>
<calcChain xmlns="http://schemas.openxmlformats.org/spreadsheetml/2006/main">
  <c r="Y213" i="14"/>
  <c r="Y212"/>
  <c r="Y211"/>
  <c r="Y210"/>
  <c r="Y208"/>
  <c r="Y207"/>
  <c r="Y206"/>
  <c r="Y205"/>
  <c r="Y203"/>
  <c r="Y202"/>
  <c r="Y201"/>
  <c r="Y200"/>
  <c r="Y198"/>
  <c r="Y197"/>
  <c r="Y196"/>
  <c r="Y195"/>
  <c r="Y193"/>
  <c r="W213"/>
  <c r="W212"/>
  <c r="W211"/>
  <c r="W210"/>
  <c r="W208"/>
  <c r="W207"/>
  <c r="W206"/>
  <c r="W205"/>
  <c r="W203"/>
  <c r="W202"/>
  <c r="W201"/>
  <c r="W200"/>
  <c r="W198"/>
  <c r="W197"/>
  <c r="W196"/>
  <c r="W195"/>
  <c r="W193"/>
  <c r="U213"/>
  <c r="U212"/>
  <c r="U211"/>
  <c r="U210"/>
  <c r="U208"/>
  <c r="U207"/>
  <c r="U206"/>
  <c r="U205"/>
  <c r="U203"/>
  <c r="U202"/>
  <c r="U201"/>
  <c r="U200"/>
  <c r="U198"/>
  <c r="U197"/>
  <c r="U196"/>
  <c r="U195"/>
  <c r="U193"/>
  <c r="S213"/>
  <c r="S212"/>
  <c r="S211"/>
  <c r="S210"/>
  <c r="S208"/>
  <c r="S207"/>
  <c r="S206"/>
  <c r="S205"/>
  <c r="S203"/>
  <c r="S202"/>
  <c r="S201"/>
  <c r="S200"/>
  <c r="S198"/>
  <c r="S197"/>
  <c r="S196"/>
  <c r="S195"/>
  <c r="S193"/>
  <c r="AA183"/>
  <c r="AA182"/>
  <c r="AA181"/>
  <c r="AA180"/>
  <c r="AA178"/>
  <c r="AA177"/>
  <c r="AA176"/>
  <c r="AA175"/>
  <c r="AA173"/>
  <c r="AA172"/>
  <c r="AA171"/>
  <c r="AA170"/>
  <c r="AA168"/>
  <c r="AA167"/>
  <c r="AA166"/>
  <c r="AA165"/>
  <c r="AA163"/>
  <c r="Y183"/>
  <c r="Y182"/>
  <c r="Y181"/>
  <c r="Y180"/>
  <c r="Y178"/>
  <c r="Y177"/>
  <c r="Y176"/>
  <c r="Y175"/>
  <c r="Y173"/>
  <c r="Y172"/>
  <c r="Y171"/>
  <c r="Y170"/>
  <c r="Y168"/>
  <c r="Y167"/>
  <c r="Y166"/>
  <c r="Y165"/>
  <c r="Y163"/>
  <c r="W183"/>
  <c r="W182"/>
  <c r="W181"/>
  <c r="W180"/>
  <c r="W178"/>
  <c r="W177"/>
  <c r="W176"/>
  <c r="W175"/>
  <c r="W173"/>
  <c r="W172"/>
  <c r="W171"/>
  <c r="W170"/>
  <c r="W168"/>
  <c r="W167"/>
  <c r="W166"/>
  <c r="W165"/>
  <c r="W163"/>
  <c r="U183"/>
  <c r="U182"/>
  <c r="U181"/>
  <c r="U180"/>
  <c r="U178"/>
  <c r="U177"/>
  <c r="U176"/>
  <c r="U175"/>
  <c r="U173"/>
  <c r="U172"/>
  <c r="U171"/>
  <c r="U170"/>
  <c r="U168"/>
  <c r="U167"/>
  <c r="U166"/>
  <c r="U165"/>
  <c r="U163"/>
  <c r="S183"/>
  <c r="S182"/>
  <c r="S181"/>
  <c r="S180"/>
  <c r="S178"/>
  <c r="S177"/>
  <c r="S176"/>
  <c r="S175"/>
  <c r="S173"/>
  <c r="S172"/>
  <c r="S171"/>
  <c r="S170"/>
  <c r="S168"/>
  <c r="S167"/>
  <c r="S166"/>
  <c r="S165"/>
  <c r="S163"/>
  <c r="AE29"/>
  <c r="AE28"/>
  <c r="AE27"/>
  <c r="AE26"/>
  <c r="AE24"/>
  <c r="AE23"/>
  <c r="AE22"/>
  <c r="AE21"/>
  <c r="AE19"/>
  <c r="AE18"/>
  <c r="AE17"/>
  <c r="AE16"/>
  <c r="AE14"/>
  <c r="AE13"/>
  <c r="AE12"/>
  <c r="AE11"/>
  <c r="AE9"/>
  <c r="AC29"/>
  <c r="AC28"/>
  <c r="AC27"/>
  <c r="AC26"/>
  <c r="AC24"/>
  <c r="AC23"/>
  <c r="AC22"/>
  <c r="AC21"/>
  <c r="AC19"/>
  <c r="AC18"/>
  <c r="AC17"/>
  <c r="AC16"/>
  <c r="AC14"/>
  <c r="AC13"/>
  <c r="AC12"/>
  <c r="AC11"/>
  <c r="AC9"/>
  <c r="AA29"/>
  <c r="AA28"/>
  <c r="AA27"/>
  <c r="AA26"/>
  <c r="AA24"/>
  <c r="AA23"/>
  <c r="AA22"/>
  <c r="AA21"/>
  <c r="AA19"/>
  <c r="AA18"/>
  <c r="AA17"/>
  <c r="AA16"/>
  <c r="AA14"/>
  <c r="AA13"/>
  <c r="AA12"/>
  <c r="AA11"/>
  <c r="AA9"/>
  <c r="Y29"/>
  <c r="Y28"/>
  <c r="Y27"/>
  <c r="Y26"/>
  <c r="Y24"/>
  <c r="Y23"/>
  <c r="Y22"/>
  <c r="Y21"/>
  <c r="Y19"/>
  <c r="Y18"/>
  <c r="Y17"/>
  <c r="Y16"/>
  <c r="Y14"/>
  <c r="Y13"/>
  <c r="Y12"/>
  <c r="Y11"/>
  <c r="Y9"/>
  <c r="W29"/>
  <c r="W28"/>
  <c r="W27"/>
  <c r="W26"/>
  <c r="W24"/>
  <c r="W23"/>
  <c r="W22"/>
  <c r="W21"/>
  <c r="W19"/>
  <c r="W18"/>
  <c r="W17"/>
  <c r="W16"/>
  <c r="W14"/>
  <c r="W13"/>
  <c r="W12"/>
  <c r="W11"/>
  <c r="W9"/>
  <c r="U29"/>
  <c r="U28"/>
  <c r="U27"/>
  <c r="U26"/>
  <c r="U24"/>
  <c r="U23"/>
  <c r="U22"/>
  <c r="U21"/>
  <c r="U19"/>
  <c r="U18"/>
  <c r="U17"/>
  <c r="U16"/>
  <c r="U14"/>
  <c r="U13"/>
  <c r="U12"/>
  <c r="U11"/>
  <c r="U9"/>
  <c r="S9"/>
  <c r="S29"/>
  <c r="S28"/>
  <c r="S27"/>
  <c r="S26"/>
  <c r="S24"/>
  <c r="S23"/>
  <c r="S22"/>
  <c r="S21"/>
  <c r="S19"/>
  <c r="S18"/>
  <c r="S17"/>
  <c r="S16"/>
  <c r="S14"/>
  <c r="S13"/>
  <c r="S12"/>
  <c r="S11"/>
  <c r="X125" i="16"/>
  <c r="Y125"/>
  <c r="Z125"/>
  <c r="AA125"/>
  <c r="AB125"/>
  <c r="AC125"/>
  <c r="AD125"/>
  <c r="AE125"/>
  <c r="AF125"/>
  <c r="AG125"/>
  <c r="AH125"/>
  <c r="AI125"/>
  <c r="AJ125"/>
  <c r="AK125"/>
  <c r="AL125"/>
  <c r="AM125"/>
  <c r="AN125"/>
  <c r="W125"/>
  <c r="X117"/>
  <c r="AN124"/>
  <c r="AM124"/>
  <c r="AL124"/>
  <c r="AK124"/>
  <c r="AJ124"/>
  <c r="AI124"/>
  <c r="AH124"/>
  <c r="AG124"/>
  <c r="AF124"/>
  <c r="AE124"/>
  <c r="AD124"/>
  <c r="AC124"/>
  <c r="AB124"/>
  <c r="AA124"/>
  <c r="Z124"/>
  <c r="Y124"/>
  <c r="X124"/>
  <c r="W124"/>
  <c r="AN123"/>
  <c r="AM123"/>
  <c r="AL123"/>
  <c r="AK123"/>
  <c r="AJ123"/>
  <c r="AI123"/>
  <c r="AH123"/>
  <c r="AG123"/>
  <c r="AF123"/>
  <c r="AE123"/>
  <c r="AD123"/>
  <c r="AC123"/>
  <c r="AB123"/>
  <c r="AA123"/>
  <c r="Z123"/>
  <c r="Y123"/>
  <c r="X123"/>
  <c r="W123"/>
  <c r="AN120"/>
  <c r="AM120"/>
  <c r="AL120"/>
  <c r="AK120"/>
  <c r="AJ120"/>
  <c r="AI120"/>
  <c r="AH120"/>
  <c r="AG120"/>
  <c r="AF120"/>
  <c r="AE120"/>
  <c r="AD120"/>
  <c r="AC120"/>
  <c r="AB120"/>
  <c r="AA120"/>
  <c r="Z120"/>
  <c r="Y120"/>
  <c r="X120"/>
  <c r="W120"/>
  <c r="AN116"/>
  <c r="AM116"/>
  <c r="AL116"/>
  <c r="AK116"/>
  <c r="AJ116"/>
  <c r="AI116"/>
  <c r="AH116"/>
  <c r="AG116"/>
  <c r="AF116"/>
  <c r="AE116"/>
  <c r="AD116"/>
  <c r="AC116"/>
  <c r="AB116"/>
  <c r="AA116"/>
  <c r="Z116"/>
  <c r="Y116"/>
  <c r="X116"/>
  <c r="W116"/>
  <c r="AN113"/>
  <c r="AN117" s="1"/>
  <c r="AM113"/>
  <c r="AM117" s="1"/>
  <c r="AL113"/>
  <c r="AL117" s="1"/>
  <c r="AK113"/>
  <c r="AK117" s="1"/>
  <c r="AJ113"/>
  <c r="AJ117" s="1"/>
  <c r="AI113"/>
  <c r="AI117" s="1"/>
  <c r="AH113"/>
  <c r="AH117" s="1"/>
  <c r="AG113"/>
  <c r="AG117" s="1"/>
  <c r="AF113"/>
  <c r="AF117" s="1"/>
  <c r="AE113"/>
  <c r="AE117" s="1"/>
  <c r="AD113"/>
  <c r="AD117" s="1"/>
  <c r="AC113"/>
  <c r="AC117" s="1"/>
  <c r="AB113"/>
  <c r="AB117" s="1"/>
  <c r="AA113"/>
  <c r="AA117" s="1"/>
  <c r="Z113"/>
  <c r="Z117" s="1"/>
  <c r="Y113"/>
  <c r="Y117" s="1"/>
  <c r="X113"/>
  <c r="W113"/>
  <c r="W117" s="1"/>
  <c r="AN109"/>
  <c r="AM109"/>
  <c r="AL109"/>
  <c r="AK109"/>
  <c r="AJ109"/>
  <c r="AI109"/>
  <c r="AH109"/>
  <c r="AG109"/>
  <c r="AF109"/>
  <c r="AE109"/>
  <c r="AD109"/>
  <c r="AC109"/>
  <c r="AB109"/>
  <c r="AA109"/>
  <c r="Z109"/>
  <c r="Y109"/>
  <c r="X109"/>
  <c r="W109"/>
  <c r="AN106"/>
  <c r="AN110" s="1"/>
  <c r="AM106"/>
  <c r="AM110" s="1"/>
  <c r="AL106"/>
  <c r="AL110" s="1"/>
  <c r="AK106"/>
  <c r="AK110" s="1"/>
  <c r="AJ106"/>
  <c r="AJ110" s="1"/>
  <c r="AI106"/>
  <c r="AI110" s="1"/>
  <c r="AH106"/>
  <c r="AH110" s="1"/>
  <c r="AG106"/>
  <c r="AG110" s="1"/>
  <c r="AF106"/>
  <c r="AF110" s="1"/>
  <c r="AE106"/>
  <c r="AE110" s="1"/>
  <c r="AD106"/>
  <c r="AD110" s="1"/>
  <c r="AC106"/>
  <c r="AC110" s="1"/>
  <c r="AB106"/>
  <c r="AB110" s="1"/>
  <c r="AA106"/>
  <c r="AA110" s="1"/>
  <c r="Z106"/>
  <c r="Z110" s="1"/>
  <c r="Y106"/>
  <c r="Y110" s="1"/>
  <c r="X106"/>
  <c r="X110" s="1"/>
  <c r="W106"/>
  <c r="W110" s="1"/>
  <c r="AN102"/>
  <c r="AM102"/>
  <c r="AL102"/>
  <c r="AK102"/>
  <c r="AJ102"/>
  <c r="AI102"/>
  <c r="AH102"/>
  <c r="AG102"/>
  <c r="AF102"/>
  <c r="AE102"/>
  <c r="AD102"/>
  <c r="AC102"/>
  <c r="AB102"/>
  <c r="AA102"/>
  <c r="Z102"/>
  <c r="Y102"/>
  <c r="X102"/>
  <c r="W102"/>
  <c r="AN99"/>
  <c r="AN103" s="1"/>
  <c r="AM99"/>
  <c r="AM103" s="1"/>
  <c r="AL99"/>
  <c r="AL103" s="1"/>
  <c r="AK99"/>
  <c r="AK103" s="1"/>
  <c r="AJ99"/>
  <c r="AJ103" s="1"/>
  <c r="AI99"/>
  <c r="AI103" s="1"/>
  <c r="AH99"/>
  <c r="AH103" s="1"/>
  <c r="AG99"/>
  <c r="AG103" s="1"/>
  <c r="AF99"/>
  <c r="AF103" s="1"/>
  <c r="AE99"/>
  <c r="AE103" s="1"/>
  <c r="AD99"/>
  <c r="AD103" s="1"/>
  <c r="AC99"/>
  <c r="AC103" s="1"/>
  <c r="AB99"/>
  <c r="AB103" s="1"/>
  <c r="AA99"/>
  <c r="AA103" s="1"/>
  <c r="Z99"/>
  <c r="Z103" s="1"/>
  <c r="Y99"/>
  <c r="Y103" s="1"/>
  <c r="X99"/>
  <c r="X103" s="1"/>
  <c r="W99"/>
  <c r="W103" s="1"/>
  <c r="AN95"/>
  <c r="AM95"/>
  <c r="AL95"/>
  <c r="AK95"/>
  <c r="AJ95"/>
  <c r="AI95"/>
  <c r="AH95"/>
  <c r="AG95"/>
  <c r="AF95"/>
  <c r="AE95"/>
  <c r="AD95"/>
  <c r="AC95"/>
  <c r="AB95"/>
  <c r="AA95"/>
  <c r="Z95"/>
  <c r="Y95"/>
  <c r="X95"/>
  <c r="W95"/>
  <c r="AN92"/>
  <c r="AN96" s="1"/>
  <c r="AM92"/>
  <c r="AM96" s="1"/>
  <c r="AL92"/>
  <c r="AL96" s="1"/>
  <c r="AK92"/>
  <c r="AK96" s="1"/>
  <c r="AJ92"/>
  <c r="AJ96" s="1"/>
  <c r="AI92"/>
  <c r="AI96" s="1"/>
  <c r="AH92"/>
  <c r="AH96" s="1"/>
  <c r="AG92"/>
  <c r="AG96" s="1"/>
  <c r="AF92"/>
  <c r="AF96" s="1"/>
  <c r="AE92"/>
  <c r="AE96" s="1"/>
  <c r="AD92"/>
  <c r="AD96" s="1"/>
  <c r="AC92"/>
  <c r="AC96" s="1"/>
  <c r="AB92"/>
  <c r="AB96" s="1"/>
  <c r="AA92"/>
  <c r="AA96" s="1"/>
  <c r="Z92"/>
  <c r="Z96" s="1"/>
  <c r="Y92"/>
  <c r="Y96" s="1"/>
  <c r="X92"/>
  <c r="X96" s="1"/>
  <c r="W92"/>
  <c r="W96" s="1"/>
  <c r="AN88"/>
  <c r="AM88"/>
  <c r="AL88"/>
  <c r="AK88"/>
  <c r="AJ88"/>
  <c r="AI88"/>
  <c r="AH88"/>
  <c r="AG88"/>
  <c r="AF88"/>
  <c r="AE88"/>
  <c r="AD88"/>
  <c r="AC88"/>
  <c r="AB88"/>
  <c r="AA88"/>
  <c r="Z88"/>
  <c r="Y88"/>
  <c r="X88"/>
  <c r="W88"/>
  <c r="AN85"/>
  <c r="AN89" s="1"/>
  <c r="AM85"/>
  <c r="AM89" s="1"/>
  <c r="AL85"/>
  <c r="AL89" s="1"/>
  <c r="AK85"/>
  <c r="AK89" s="1"/>
  <c r="AJ85"/>
  <c r="AJ89" s="1"/>
  <c r="AI85"/>
  <c r="AI89" s="1"/>
  <c r="AH85"/>
  <c r="AH89" s="1"/>
  <c r="AG85"/>
  <c r="AG89" s="1"/>
  <c r="AF85"/>
  <c r="AF89" s="1"/>
  <c r="AE85"/>
  <c r="AE89" s="1"/>
  <c r="AD85"/>
  <c r="AD89" s="1"/>
  <c r="AC85"/>
  <c r="AC89" s="1"/>
  <c r="AB85"/>
  <c r="AB89" s="1"/>
  <c r="AA85"/>
  <c r="AA89" s="1"/>
  <c r="Z85"/>
  <c r="Z89" s="1"/>
  <c r="Y85"/>
  <c r="Y89" s="1"/>
  <c r="X85"/>
  <c r="X89" s="1"/>
  <c r="W85"/>
  <c r="W89" s="1"/>
  <c r="AN81"/>
  <c r="AM81"/>
  <c r="AL81"/>
  <c r="AK81"/>
  <c r="AJ81"/>
  <c r="AI81"/>
  <c r="AH81"/>
  <c r="AG81"/>
  <c r="AF81"/>
  <c r="AE81"/>
  <c r="AD81"/>
  <c r="AC81"/>
  <c r="AB81"/>
  <c r="AA81"/>
  <c r="Z81"/>
  <c r="Y81"/>
  <c r="X81"/>
  <c r="W81"/>
  <c r="AN78"/>
  <c r="AN82" s="1"/>
  <c r="AM78"/>
  <c r="AM82" s="1"/>
  <c r="AL78"/>
  <c r="AL82" s="1"/>
  <c r="AK78"/>
  <c r="AK82" s="1"/>
  <c r="AJ78"/>
  <c r="AJ82" s="1"/>
  <c r="AI78"/>
  <c r="AI82" s="1"/>
  <c r="AH78"/>
  <c r="AH82" s="1"/>
  <c r="AG78"/>
  <c r="AG82" s="1"/>
  <c r="AF78"/>
  <c r="AF82" s="1"/>
  <c r="AE78"/>
  <c r="AE82" s="1"/>
  <c r="AD78"/>
  <c r="AD82" s="1"/>
  <c r="AC78"/>
  <c r="AC82" s="1"/>
  <c r="AB78"/>
  <c r="AB82" s="1"/>
  <c r="AA78"/>
  <c r="AA82" s="1"/>
  <c r="Z78"/>
  <c r="Z82" s="1"/>
  <c r="Y78"/>
  <c r="Y82" s="1"/>
  <c r="X78"/>
  <c r="X82" s="1"/>
  <c r="W78"/>
  <c r="W82" s="1"/>
  <c r="AN74"/>
  <c r="AM74"/>
  <c r="AL74"/>
  <c r="AK74"/>
  <c r="AJ74"/>
  <c r="AI74"/>
  <c r="AH74"/>
  <c r="AG74"/>
  <c r="AF74"/>
  <c r="AE74"/>
  <c r="AD74"/>
  <c r="AC74"/>
  <c r="AB74"/>
  <c r="AA74"/>
  <c r="Z74"/>
  <c r="Y74"/>
  <c r="X74"/>
  <c r="W74"/>
  <c r="AN71"/>
  <c r="AN75" s="1"/>
  <c r="AM71"/>
  <c r="AM75" s="1"/>
  <c r="AL71"/>
  <c r="AL75" s="1"/>
  <c r="AK71"/>
  <c r="AK75" s="1"/>
  <c r="AJ71"/>
  <c r="AJ75" s="1"/>
  <c r="AI71"/>
  <c r="AI75" s="1"/>
  <c r="AH71"/>
  <c r="AH75" s="1"/>
  <c r="AG71"/>
  <c r="AG75" s="1"/>
  <c r="AF71"/>
  <c r="AF75" s="1"/>
  <c r="AE71"/>
  <c r="AE75" s="1"/>
  <c r="AD71"/>
  <c r="AD75" s="1"/>
  <c r="AC71"/>
  <c r="AC75" s="1"/>
  <c r="AB71"/>
  <c r="AB75" s="1"/>
  <c r="AA71"/>
  <c r="AA75" s="1"/>
  <c r="Z71"/>
  <c r="Z75" s="1"/>
  <c r="Y71"/>
  <c r="Y75" s="1"/>
  <c r="X71"/>
  <c r="X75" s="1"/>
  <c r="W71"/>
  <c r="W75" s="1"/>
  <c r="AN67"/>
  <c r="AM67"/>
  <c r="AL67"/>
  <c r="AK67"/>
  <c r="AJ67"/>
  <c r="AI67"/>
  <c r="AH67"/>
  <c r="AG67"/>
  <c r="AF67"/>
  <c r="AE67"/>
  <c r="AD67"/>
  <c r="AC67"/>
  <c r="AB67"/>
  <c r="AA67"/>
  <c r="Z67"/>
  <c r="Y67"/>
  <c r="X67"/>
  <c r="W67"/>
  <c r="AN64"/>
  <c r="AN68" s="1"/>
  <c r="AM64"/>
  <c r="AM68" s="1"/>
  <c r="AL64"/>
  <c r="AL68" s="1"/>
  <c r="AK64"/>
  <c r="AK68" s="1"/>
  <c r="AJ64"/>
  <c r="AJ68" s="1"/>
  <c r="AI64"/>
  <c r="AI68" s="1"/>
  <c r="AH64"/>
  <c r="AH68" s="1"/>
  <c r="AG64"/>
  <c r="AG68" s="1"/>
  <c r="AF64"/>
  <c r="AF68" s="1"/>
  <c r="AE64"/>
  <c r="AE68" s="1"/>
  <c r="AD64"/>
  <c r="AD68" s="1"/>
  <c r="AC64"/>
  <c r="AC68" s="1"/>
  <c r="AB64"/>
  <c r="AB68" s="1"/>
  <c r="AA64"/>
  <c r="AA68" s="1"/>
  <c r="Z64"/>
  <c r="Z68" s="1"/>
  <c r="Y64"/>
  <c r="Y68" s="1"/>
  <c r="X64"/>
  <c r="X68" s="1"/>
  <c r="W64"/>
  <c r="W68" s="1"/>
  <c r="AN60"/>
  <c r="AM60"/>
  <c r="AL60"/>
  <c r="AK60"/>
  <c r="AJ60"/>
  <c r="AI60"/>
  <c r="AH60"/>
  <c r="AG60"/>
  <c r="AF60"/>
  <c r="AE60"/>
  <c r="AD60"/>
  <c r="AC60"/>
  <c r="AB60"/>
  <c r="AA60"/>
  <c r="Z60"/>
  <c r="Y60"/>
  <c r="X60"/>
  <c r="W60"/>
  <c r="AN57"/>
  <c r="AN61" s="1"/>
  <c r="AM57"/>
  <c r="AM61" s="1"/>
  <c r="AL57"/>
  <c r="AL61" s="1"/>
  <c r="AK57"/>
  <c r="AK61" s="1"/>
  <c r="AJ57"/>
  <c r="AJ61" s="1"/>
  <c r="AI57"/>
  <c r="AI61" s="1"/>
  <c r="AH57"/>
  <c r="AH61" s="1"/>
  <c r="AG57"/>
  <c r="AG61" s="1"/>
  <c r="AF57"/>
  <c r="AF61" s="1"/>
  <c r="AE57"/>
  <c r="AE61" s="1"/>
  <c r="AD57"/>
  <c r="AD61" s="1"/>
  <c r="AC57"/>
  <c r="AC61" s="1"/>
  <c r="AB57"/>
  <c r="AB61" s="1"/>
  <c r="AA57"/>
  <c r="AA61" s="1"/>
  <c r="Z57"/>
  <c r="Z61" s="1"/>
  <c r="Y57"/>
  <c r="Y61" s="1"/>
  <c r="X57"/>
  <c r="X61" s="1"/>
  <c r="W57"/>
  <c r="W61" s="1"/>
  <c r="AN53"/>
  <c r="AM53"/>
  <c r="AL53"/>
  <c r="AK53"/>
  <c r="AJ53"/>
  <c r="AI53"/>
  <c r="AH53"/>
  <c r="AG53"/>
  <c r="AF53"/>
  <c r="AE53"/>
  <c r="AD53"/>
  <c r="AC53"/>
  <c r="AB53"/>
  <c r="AA53"/>
  <c r="Z53"/>
  <c r="Y53"/>
  <c r="X53"/>
  <c r="W53"/>
  <c r="AN50"/>
  <c r="AN54" s="1"/>
  <c r="AM50"/>
  <c r="AM54" s="1"/>
  <c r="AL50"/>
  <c r="AL54" s="1"/>
  <c r="AK50"/>
  <c r="AK54" s="1"/>
  <c r="AJ50"/>
  <c r="AJ54" s="1"/>
  <c r="AI50"/>
  <c r="AI54" s="1"/>
  <c r="AH50"/>
  <c r="AH54" s="1"/>
  <c r="AG50"/>
  <c r="AG54" s="1"/>
  <c r="AF50"/>
  <c r="AF54" s="1"/>
  <c r="AE50"/>
  <c r="AE54" s="1"/>
  <c r="AD50"/>
  <c r="AD54" s="1"/>
  <c r="AC50"/>
  <c r="AC54" s="1"/>
  <c r="AB50"/>
  <c r="AB54" s="1"/>
  <c r="AA50"/>
  <c r="AA54" s="1"/>
  <c r="Z50"/>
  <c r="Z54" s="1"/>
  <c r="Y50"/>
  <c r="Y54" s="1"/>
  <c r="X50"/>
  <c r="X54" s="1"/>
  <c r="W50"/>
  <c r="W54" s="1"/>
  <c r="AN46"/>
  <c r="AM46"/>
  <c r="AL46"/>
  <c r="AK46"/>
  <c r="AJ46"/>
  <c r="AI46"/>
  <c r="AH46"/>
  <c r="AG46"/>
  <c r="AF46"/>
  <c r="AE46"/>
  <c r="AD46"/>
  <c r="AC46"/>
  <c r="AB46"/>
  <c r="AA46"/>
  <c r="Z46"/>
  <c r="Y46"/>
  <c r="X46"/>
  <c r="W46"/>
  <c r="AN43"/>
  <c r="AN47" s="1"/>
  <c r="AM43"/>
  <c r="AM47" s="1"/>
  <c r="AL43"/>
  <c r="AL47" s="1"/>
  <c r="AK43"/>
  <c r="AK47" s="1"/>
  <c r="AJ43"/>
  <c r="AJ47" s="1"/>
  <c r="AI43"/>
  <c r="AI47" s="1"/>
  <c r="AH43"/>
  <c r="AH47" s="1"/>
  <c r="AG43"/>
  <c r="AG47" s="1"/>
  <c r="AF43"/>
  <c r="AF47" s="1"/>
  <c r="AE43"/>
  <c r="AE47" s="1"/>
  <c r="AD43"/>
  <c r="AD47" s="1"/>
  <c r="AC43"/>
  <c r="AC47" s="1"/>
  <c r="AB43"/>
  <c r="AB47" s="1"/>
  <c r="AA43"/>
  <c r="AA47" s="1"/>
  <c r="Z43"/>
  <c r="Z47" s="1"/>
  <c r="Y43"/>
  <c r="Y47" s="1"/>
  <c r="X43"/>
  <c r="X47" s="1"/>
  <c r="W43"/>
  <c r="W47" s="1"/>
  <c r="AN39"/>
  <c r="AM39"/>
  <c r="AL39"/>
  <c r="AK39"/>
  <c r="AJ39"/>
  <c r="AI39"/>
  <c r="AH39"/>
  <c r="AG39"/>
  <c r="AF39"/>
  <c r="AE39"/>
  <c r="AD39"/>
  <c r="AC39"/>
  <c r="AB39"/>
  <c r="AA39"/>
  <c r="Z39"/>
  <c r="Y39"/>
  <c r="X39"/>
  <c r="W39"/>
  <c r="AN36"/>
  <c r="AN40" s="1"/>
  <c r="AM36"/>
  <c r="AM40" s="1"/>
  <c r="AL36"/>
  <c r="AL40" s="1"/>
  <c r="AK36"/>
  <c r="AK40" s="1"/>
  <c r="AJ36"/>
  <c r="AJ40" s="1"/>
  <c r="AI36"/>
  <c r="AI40" s="1"/>
  <c r="AH36"/>
  <c r="AH40" s="1"/>
  <c r="AG36"/>
  <c r="AG40" s="1"/>
  <c r="AF36"/>
  <c r="AF40" s="1"/>
  <c r="AE36"/>
  <c r="AE40" s="1"/>
  <c r="AD36"/>
  <c r="AD40" s="1"/>
  <c r="AC36"/>
  <c r="AC40" s="1"/>
  <c r="AB36"/>
  <c r="AB40" s="1"/>
  <c r="AA36"/>
  <c r="AA40" s="1"/>
  <c r="Z36"/>
  <c r="Z40" s="1"/>
  <c r="Y36"/>
  <c r="Y40" s="1"/>
  <c r="X36"/>
  <c r="X40" s="1"/>
  <c r="W36"/>
  <c r="W40" s="1"/>
  <c r="AN32"/>
  <c r="AM32"/>
  <c r="AL32"/>
  <c r="AK32"/>
  <c r="AJ32"/>
  <c r="AI32"/>
  <c r="AH32"/>
  <c r="AG32"/>
  <c r="AF32"/>
  <c r="AE32"/>
  <c r="AD32"/>
  <c r="AC32"/>
  <c r="AB32"/>
  <c r="AA32"/>
  <c r="Z32"/>
  <c r="Y32"/>
  <c r="X32"/>
  <c r="W32"/>
  <c r="AN29"/>
  <c r="AN33" s="1"/>
  <c r="AM29"/>
  <c r="AM33" s="1"/>
  <c r="AL29"/>
  <c r="AL33" s="1"/>
  <c r="AK29"/>
  <c r="AK33" s="1"/>
  <c r="AJ29"/>
  <c r="AJ33" s="1"/>
  <c r="AI29"/>
  <c r="AI33" s="1"/>
  <c r="AH29"/>
  <c r="AH33" s="1"/>
  <c r="AG29"/>
  <c r="AG33" s="1"/>
  <c r="AF29"/>
  <c r="AF33" s="1"/>
  <c r="AE29"/>
  <c r="AE33" s="1"/>
  <c r="AD29"/>
  <c r="AD33" s="1"/>
  <c r="AC29"/>
  <c r="AC33" s="1"/>
  <c r="AB29"/>
  <c r="AB33" s="1"/>
  <c r="AA29"/>
  <c r="AA33" s="1"/>
  <c r="Z29"/>
  <c r="Z33" s="1"/>
  <c r="Y29"/>
  <c r="Y33" s="1"/>
  <c r="X29"/>
  <c r="X33" s="1"/>
  <c r="W29"/>
  <c r="W33" s="1"/>
  <c r="AN25"/>
  <c r="AM25"/>
  <c r="AL25"/>
  <c r="AK25"/>
  <c r="AJ25"/>
  <c r="AI25"/>
  <c r="AH25"/>
  <c r="AG25"/>
  <c r="AF25"/>
  <c r="AE25"/>
  <c r="AD25"/>
  <c r="AC25"/>
  <c r="AB25"/>
  <c r="AA25"/>
  <c r="Z25"/>
  <c r="Y25"/>
  <c r="X25"/>
  <c r="W25"/>
  <c r="AN22"/>
  <c r="AN26" s="1"/>
  <c r="AM22"/>
  <c r="AM26" s="1"/>
  <c r="AL22"/>
  <c r="AL26" s="1"/>
  <c r="AK22"/>
  <c r="AK26" s="1"/>
  <c r="AJ22"/>
  <c r="AJ26" s="1"/>
  <c r="AI22"/>
  <c r="AI26" s="1"/>
  <c r="AH22"/>
  <c r="AH26" s="1"/>
  <c r="AG22"/>
  <c r="AG26" s="1"/>
  <c r="AF22"/>
  <c r="AF26" s="1"/>
  <c r="AE22"/>
  <c r="AE26" s="1"/>
  <c r="AD22"/>
  <c r="AD26" s="1"/>
  <c r="AC22"/>
  <c r="AC26" s="1"/>
  <c r="AB22"/>
  <c r="AB26" s="1"/>
  <c r="AA22"/>
  <c r="AA26" s="1"/>
  <c r="Z22"/>
  <c r="Z26" s="1"/>
  <c r="Y22"/>
  <c r="Y26" s="1"/>
  <c r="X22"/>
  <c r="X26" s="1"/>
  <c r="W22"/>
  <c r="W26" s="1"/>
  <c r="AN18"/>
  <c r="AM18"/>
  <c r="AL18"/>
  <c r="AK18"/>
  <c r="AJ18"/>
  <c r="AI18"/>
  <c r="AH18"/>
  <c r="AG18"/>
  <c r="AF18"/>
  <c r="AE18"/>
  <c r="AD18"/>
  <c r="AC18"/>
  <c r="AB18"/>
  <c r="AA18"/>
  <c r="Z18"/>
  <c r="Y18"/>
  <c r="X18"/>
  <c r="W18"/>
  <c r="AN15"/>
  <c r="AN19" s="1"/>
  <c r="AM15"/>
  <c r="AM19" s="1"/>
  <c r="AL15"/>
  <c r="AL19" s="1"/>
  <c r="AK15"/>
  <c r="AK19" s="1"/>
  <c r="AJ15"/>
  <c r="AJ19" s="1"/>
  <c r="AI15"/>
  <c r="AI19" s="1"/>
  <c r="AH15"/>
  <c r="AH19" s="1"/>
  <c r="AG15"/>
  <c r="AG19" s="1"/>
  <c r="AF15"/>
  <c r="AF19" s="1"/>
  <c r="AE15"/>
  <c r="AE19" s="1"/>
  <c r="AD15"/>
  <c r="AD19" s="1"/>
  <c r="AC15"/>
  <c r="AC19" s="1"/>
  <c r="AB15"/>
  <c r="AB19" s="1"/>
  <c r="AA15"/>
  <c r="AA19" s="1"/>
  <c r="Z15"/>
  <c r="Z19" s="1"/>
  <c r="Y15"/>
  <c r="Y19" s="1"/>
  <c r="X15"/>
  <c r="X19" s="1"/>
  <c r="W15"/>
  <c r="W19" s="1"/>
  <c r="AN11"/>
  <c r="AM11"/>
  <c r="AL11"/>
  <c r="AK11"/>
  <c r="AJ11"/>
  <c r="AI11"/>
  <c r="AH11"/>
  <c r="AG11"/>
  <c r="AF11"/>
  <c r="AE11"/>
  <c r="AD11"/>
  <c r="AC11"/>
  <c r="AB11"/>
  <c r="AA11"/>
  <c r="Z11"/>
  <c r="Y11"/>
  <c r="X11"/>
  <c r="W11"/>
  <c r="AN8"/>
  <c r="AN12" s="1"/>
  <c r="AM8"/>
  <c r="AM12" s="1"/>
  <c r="AL8"/>
  <c r="AL12" s="1"/>
  <c r="AK8"/>
  <c r="AK12" s="1"/>
  <c r="AJ8"/>
  <c r="AJ12" s="1"/>
  <c r="AI8"/>
  <c r="AI12" s="1"/>
  <c r="AH8"/>
  <c r="AH12" s="1"/>
  <c r="AG8"/>
  <c r="AG12" s="1"/>
  <c r="AF8"/>
  <c r="AF12" s="1"/>
  <c r="AE8"/>
  <c r="AE12" s="1"/>
  <c r="AD8"/>
  <c r="AD12" s="1"/>
  <c r="AC8"/>
  <c r="AC12" s="1"/>
  <c r="AB8"/>
  <c r="AB12" s="1"/>
  <c r="AA8"/>
  <c r="AA12" s="1"/>
  <c r="Z8"/>
  <c r="Z12" s="1"/>
  <c r="Y8"/>
  <c r="Y12" s="1"/>
  <c r="X8"/>
  <c r="X12" s="1"/>
  <c r="W8"/>
  <c r="W12" s="1"/>
  <c r="AJ664" i="6"/>
  <c r="AJ663"/>
  <c r="AJ662"/>
  <c r="AJ661"/>
  <c r="AJ660"/>
  <c r="AJ659"/>
  <c r="AJ658"/>
  <c r="AJ657"/>
  <c r="AJ656"/>
  <c r="AJ655"/>
  <c r="AJ654"/>
  <c r="AJ653"/>
  <c r="AJ652"/>
  <c r="AJ651"/>
  <c r="AJ650"/>
  <c r="AJ649"/>
  <c r="AJ648"/>
  <c r="AJ647"/>
  <c r="AJ646"/>
  <c r="AJ645"/>
  <c r="AJ644"/>
  <c r="AJ643"/>
  <c r="AJ642"/>
  <c r="AJ641"/>
  <c r="AJ640"/>
  <c r="AJ639"/>
  <c r="AJ638"/>
  <c r="AJ637"/>
  <c r="AJ636"/>
  <c r="AJ635"/>
  <c r="AJ634"/>
  <c r="AJ633"/>
  <c r="AJ632"/>
  <c r="AJ631"/>
  <c r="AJ630"/>
  <c r="AJ629"/>
  <c r="AJ628"/>
  <c r="AJ627"/>
  <c r="AJ626"/>
  <c r="AJ625"/>
  <c r="AJ624"/>
  <c r="AJ623"/>
  <c r="AJ622"/>
  <c r="AJ621"/>
  <c r="AJ620"/>
  <c r="AJ619"/>
  <c r="AJ618"/>
  <c r="AJ617"/>
  <c r="AJ616"/>
  <c r="AJ615"/>
  <c r="AJ614"/>
  <c r="AJ613"/>
  <c r="AJ612"/>
  <c r="AJ611"/>
  <c r="AJ610"/>
  <c r="AJ609"/>
  <c r="AJ608"/>
  <c r="AJ607"/>
  <c r="AJ606"/>
  <c r="AJ605"/>
  <c r="AJ604"/>
  <c r="AJ603"/>
  <c r="AJ602"/>
  <c r="AJ601"/>
  <c r="AJ600"/>
  <c r="AJ599"/>
  <c r="AJ598"/>
  <c r="AJ597"/>
  <c r="AJ596"/>
  <c r="AJ595"/>
  <c r="AJ594"/>
  <c r="AJ593"/>
  <c r="AJ592"/>
  <c r="AJ591"/>
  <c r="AJ590"/>
  <c r="AJ589"/>
  <c r="AJ588"/>
  <c r="AJ552"/>
  <c r="AJ551"/>
  <c r="AJ550"/>
  <c r="AJ549"/>
  <c r="AJ548"/>
  <c r="AJ547"/>
  <c r="AJ546"/>
  <c r="AJ545"/>
  <c r="AJ544"/>
  <c r="AJ543"/>
  <c r="AJ542"/>
  <c r="AJ541"/>
  <c r="AJ540"/>
  <c r="AJ539"/>
  <c r="AJ538"/>
  <c r="AJ537"/>
  <c r="AJ536"/>
  <c r="AJ535"/>
  <c r="AJ534"/>
  <c r="AJ533"/>
  <c r="AJ532"/>
  <c r="AJ531"/>
  <c r="AJ530"/>
  <c r="AJ529"/>
  <c r="AJ528"/>
  <c r="AJ527"/>
  <c r="AJ526"/>
  <c r="AJ471"/>
  <c r="AJ470"/>
  <c r="AJ469"/>
  <c r="AJ468"/>
  <c r="AJ467"/>
  <c r="AJ466"/>
  <c r="AJ465"/>
  <c r="AJ464"/>
  <c r="AJ463"/>
  <c r="AJ462"/>
  <c r="AJ461"/>
  <c r="AJ460"/>
  <c r="AJ459"/>
  <c r="AJ458"/>
  <c r="AJ457"/>
  <c r="AJ456"/>
  <c r="AJ455"/>
  <c r="AJ454"/>
  <c r="AJ453"/>
  <c r="AJ452"/>
  <c r="AJ451"/>
  <c r="AJ450"/>
  <c r="AJ449"/>
  <c r="AJ448"/>
  <c r="AJ447"/>
  <c r="AJ446"/>
  <c r="AJ445"/>
  <c r="AJ444"/>
  <c r="AJ443"/>
  <c r="AJ442"/>
  <c r="AJ441"/>
  <c r="AJ440"/>
  <c r="AJ439"/>
  <c r="AJ438"/>
  <c r="AJ437"/>
  <c r="AJ436"/>
  <c r="AJ435"/>
  <c r="AJ434"/>
  <c r="AJ433"/>
  <c r="AJ432"/>
  <c r="AJ431"/>
  <c r="AJ430"/>
  <c r="AJ429"/>
  <c r="AJ428"/>
  <c r="AJ427"/>
  <c r="AJ426"/>
  <c r="AF664"/>
  <c r="AF663"/>
  <c r="AF662"/>
  <c r="AF661"/>
  <c r="AF660"/>
  <c r="AF659"/>
  <c r="AF658"/>
  <c r="AF657"/>
  <c r="AF656"/>
  <c r="AF655"/>
  <c r="AF654"/>
  <c r="AF653"/>
  <c r="AF652"/>
  <c r="AF651"/>
  <c r="AF650"/>
  <c r="AF649"/>
  <c r="AF648"/>
  <c r="AF647"/>
  <c r="AF646"/>
  <c r="AF645"/>
  <c r="AF644"/>
  <c r="AF643"/>
  <c r="AF642"/>
  <c r="AF641"/>
  <c r="AF640"/>
  <c r="AF639"/>
  <c r="AF638"/>
  <c r="AF637"/>
  <c r="AF636"/>
  <c r="AF635"/>
  <c r="AF634"/>
  <c r="AF633"/>
  <c r="AF632"/>
  <c r="AF631"/>
  <c r="AF630"/>
  <c r="AF629"/>
  <c r="AF628"/>
  <c r="AF627"/>
  <c r="AF626"/>
  <c r="AF625"/>
  <c r="AF624"/>
  <c r="AF623"/>
  <c r="AF622"/>
  <c r="AF621"/>
  <c r="AF620"/>
  <c r="AF619"/>
  <c r="AF618"/>
  <c r="AF617"/>
  <c r="AF616"/>
  <c r="AF615"/>
  <c r="AF614"/>
  <c r="AF613"/>
  <c r="AF612"/>
  <c r="AF611"/>
  <c r="AF610"/>
  <c r="AF609"/>
  <c r="AF608"/>
  <c r="AF607"/>
  <c r="AF606"/>
  <c r="AF605"/>
  <c r="AF604"/>
  <c r="AF603"/>
  <c r="AF602"/>
  <c r="AF601"/>
  <c r="AF600"/>
  <c r="AF599"/>
  <c r="AF598"/>
  <c r="AF597"/>
  <c r="AF596"/>
  <c r="AF595"/>
  <c r="AF594"/>
  <c r="AF593"/>
  <c r="AF592"/>
  <c r="AF591"/>
  <c r="AF590"/>
  <c r="AF589"/>
  <c r="AF588"/>
  <c r="AF552"/>
  <c r="AF551"/>
  <c r="AF550"/>
  <c r="AF549"/>
  <c r="AF548"/>
  <c r="AF547"/>
  <c r="AF546"/>
  <c r="AF545"/>
  <c r="AF544"/>
  <c r="AF543"/>
  <c r="AF542"/>
  <c r="AF541"/>
  <c r="AF540"/>
  <c r="AF539"/>
  <c r="AF538"/>
  <c r="AF537"/>
  <c r="AF536"/>
  <c r="AF535"/>
  <c r="AF534"/>
  <c r="AF533"/>
  <c r="AF532"/>
  <c r="AF531"/>
  <c r="AF530"/>
  <c r="AF529"/>
  <c r="AF528"/>
  <c r="AF527"/>
  <c r="AF526"/>
  <c r="AF471"/>
  <c r="AF470"/>
  <c r="AF469"/>
  <c r="AF468"/>
  <c r="AF467"/>
  <c r="AF466"/>
  <c r="AF465"/>
  <c r="AF464"/>
  <c r="AF463"/>
  <c r="AF462"/>
  <c r="AF461"/>
  <c r="AF460"/>
  <c r="AF459"/>
  <c r="AF458"/>
  <c r="AF457"/>
  <c r="AF456"/>
  <c r="AF455"/>
  <c r="AF454"/>
  <c r="AF453"/>
  <c r="AF452"/>
  <c r="AF451"/>
  <c r="AF450"/>
  <c r="AF449"/>
  <c r="AF448"/>
  <c r="AF447"/>
  <c r="AF446"/>
  <c r="AF445"/>
  <c r="AF444"/>
  <c r="AF443"/>
  <c r="AF442"/>
  <c r="AF441"/>
  <c r="AF440"/>
  <c r="AF439"/>
  <c r="AF438"/>
  <c r="AF437"/>
  <c r="AF436"/>
  <c r="AF435"/>
  <c r="AF434"/>
  <c r="AF433"/>
  <c r="AF432"/>
  <c r="AF431"/>
  <c r="AF430"/>
  <c r="AF429"/>
  <c r="AF428"/>
  <c r="AF427"/>
  <c r="AF426"/>
  <c r="AF119"/>
  <c r="AF118"/>
  <c r="AF117"/>
  <c r="AF116"/>
  <c r="AF115"/>
  <c r="AF114"/>
  <c r="AF113"/>
  <c r="AF112"/>
  <c r="AF111"/>
  <c r="AF110"/>
  <c r="AF109"/>
  <c r="AF108"/>
  <c r="AF107"/>
  <c r="AF106"/>
  <c r="AF105"/>
  <c r="AF104"/>
  <c r="AF103"/>
  <c r="AF102"/>
  <c r="AF101"/>
  <c r="AF100"/>
  <c r="AF99"/>
  <c r="AF98"/>
  <c r="AF97"/>
  <c r="AF96"/>
  <c r="AF95"/>
  <c r="AF94"/>
  <c r="AF93"/>
  <c r="AF92"/>
  <c r="T310"/>
  <c r="T309"/>
  <c r="T308"/>
  <c r="T307"/>
  <c r="T306"/>
  <c r="T305"/>
  <c r="T304"/>
  <c r="T303"/>
  <c r="T302"/>
  <c r="T301"/>
  <c r="T300"/>
  <c r="T299"/>
  <c r="T298"/>
  <c r="T297"/>
  <c r="T296"/>
  <c r="T295"/>
  <c r="T294"/>
  <c r="T293"/>
  <c r="T292"/>
  <c r="T291"/>
  <c r="T290"/>
  <c r="T289"/>
  <c r="T288"/>
  <c r="T287"/>
  <c r="T286"/>
  <c r="T285"/>
  <c r="T284"/>
  <c r="T283"/>
  <c r="T282"/>
  <c r="T281"/>
  <c r="T280"/>
  <c r="T279"/>
  <c r="T278"/>
  <c r="T277"/>
  <c r="T276"/>
  <c r="T80"/>
  <c r="T79"/>
  <c r="T78"/>
  <c r="T77"/>
  <c r="T76"/>
  <c r="T43"/>
  <c r="T42"/>
  <c r="T41"/>
  <c r="T40"/>
  <c r="T39"/>
  <c r="T38"/>
  <c r="T37"/>
  <c r="T36"/>
  <c r="T35"/>
  <c r="T34"/>
  <c r="T33"/>
  <c r="T32"/>
  <c r="T31"/>
  <c r="T30"/>
  <c r="T29"/>
  <c r="T28"/>
  <c r="T27"/>
  <c r="T26"/>
  <c r="T25"/>
  <c r="T24"/>
  <c r="T23"/>
  <c r="T22"/>
  <c r="T21"/>
  <c r="T20"/>
  <c r="T19"/>
  <c r="T18"/>
  <c r="T17"/>
  <c r="T16"/>
  <c r="T15"/>
  <c r="T14"/>
  <c r="T13"/>
  <c r="T12"/>
  <c r="T11"/>
  <c r="T10"/>
  <c r="T9"/>
  <c r="T8"/>
  <c r="T7"/>
  <c r="T6"/>
  <c r="T5"/>
  <c r="P76"/>
  <c r="P77"/>
  <c r="P78"/>
  <c r="P79"/>
  <c r="P80"/>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6"/>
  <c r="P7"/>
  <c r="P8"/>
  <c r="P9"/>
  <c r="P10"/>
  <c r="P11"/>
  <c r="P12"/>
  <c r="P13"/>
  <c r="P14"/>
  <c r="P15"/>
  <c r="P16"/>
  <c r="P17"/>
  <c r="P18"/>
  <c r="P19"/>
  <c r="P20"/>
  <c r="P21"/>
  <c r="P22"/>
  <c r="P23"/>
  <c r="P24"/>
  <c r="P25"/>
  <c r="P26"/>
  <c r="P27"/>
  <c r="P28"/>
  <c r="P29"/>
  <c r="P30"/>
  <c r="P31"/>
  <c r="P32"/>
  <c r="P33"/>
  <c r="P34"/>
  <c r="P35"/>
  <c r="P36"/>
  <c r="P37"/>
  <c r="P38"/>
  <c r="P39"/>
  <c r="P40"/>
  <c r="P41"/>
  <c r="P42"/>
  <c r="P43"/>
  <c r="P5"/>
  <c r="I29" i="14"/>
  <c r="T211"/>
  <c r="V197"/>
  <c r="T178"/>
  <c r="T168"/>
  <c r="X27"/>
  <c r="X19"/>
  <c r="X12"/>
  <c r="V203"/>
  <c r="R183"/>
  <c r="R173"/>
  <c r="R163"/>
  <c r="Z23"/>
  <c r="V17"/>
  <c r="R11"/>
  <c r="V210"/>
  <c r="R197"/>
  <c r="X177"/>
  <c r="X167"/>
  <c r="T27"/>
  <c r="T21"/>
  <c r="AB11"/>
  <c r="R203"/>
  <c r="V182"/>
  <c r="V172"/>
  <c r="Z29"/>
  <c r="V23"/>
  <c r="R17"/>
  <c r="Z9"/>
  <c r="T170"/>
  <c r="T23"/>
  <c r="T14"/>
  <c r="T202"/>
  <c r="R180"/>
  <c r="R167"/>
  <c r="R23"/>
  <c r="R13"/>
  <c r="T208"/>
  <c r="X178"/>
  <c r="X163"/>
  <c r="X21"/>
  <c r="V211"/>
  <c r="V183"/>
  <c r="V166"/>
  <c r="Z19"/>
  <c r="V11"/>
  <c r="R210"/>
  <c r="T180"/>
  <c r="V208"/>
  <c r="AB9"/>
  <c r="T19"/>
  <c r="K29"/>
  <c r="T201"/>
  <c r="T181"/>
  <c r="T171"/>
  <c r="AB28"/>
  <c r="X22"/>
  <c r="T16"/>
  <c r="T207"/>
  <c r="V193"/>
  <c r="R176"/>
  <c r="R166"/>
  <c r="R26"/>
  <c r="Z18"/>
  <c r="V12"/>
  <c r="T213"/>
  <c r="V200"/>
  <c r="X180"/>
  <c r="X170"/>
  <c r="X28"/>
  <c r="T22"/>
  <c r="AB14"/>
  <c r="V206"/>
  <c r="R193"/>
  <c r="V175"/>
  <c r="V165"/>
  <c r="Z24"/>
  <c r="V18"/>
  <c r="R12"/>
  <c r="T182"/>
  <c r="AB26"/>
  <c r="AB16"/>
  <c r="R206"/>
  <c r="R182"/>
  <c r="R170"/>
  <c r="V24"/>
  <c r="V14"/>
  <c r="R212"/>
  <c r="X183"/>
  <c r="X168"/>
  <c r="AB22"/>
  <c r="T9"/>
  <c r="T195"/>
  <c r="V171"/>
  <c r="R24"/>
  <c r="R14"/>
  <c r="V212"/>
  <c r="R200"/>
  <c r="T177"/>
  <c r="X29"/>
  <c r="R196"/>
  <c r="Z21"/>
  <c r="V205"/>
  <c r="X166"/>
  <c r="T13"/>
  <c r="V176"/>
  <c r="Z22"/>
  <c r="T196"/>
  <c r="X24"/>
  <c r="Z16"/>
  <c r="AB27"/>
  <c r="Z27"/>
  <c r="Z17"/>
  <c r="AB13"/>
  <c r="AB21"/>
  <c r="V198"/>
  <c r="R177"/>
  <c r="V19"/>
  <c r="V9"/>
  <c r="X176"/>
  <c r="AB17"/>
  <c r="V178"/>
  <c r="R29"/>
  <c r="R9"/>
  <c r="I163"/>
  <c r="T18"/>
  <c r="Z11"/>
  <c r="X181"/>
  <c r="R198"/>
  <c r="V163"/>
  <c r="T175"/>
  <c r="V195"/>
  <c r="V168"/>
  <c r="R205"/>
  <c r="T183"/>
  <c r="T173"/>
  <c r="T163"/>
  <c r="AB23"/>
  <c r="X17"/>
  <c r="R211"/>
  <c r="T197"/>
  <c r="R178"/>
  <c r="R168"/>
  <c r="V27"/>
  <c r="V21"/>
  <c r="Z13"/>
  <c r="T12"/>
  <c r="T203"/>
  <c r="X182"/>
  <c r="X172"/>
  <c r="AB29"/>
  <c r="X23"/>
  <c r="T17"/>
  <c r="T210"/>
  <c r="V196"/>
  <c r="V177"/>
  <c r="V167"/>
  <c r="R27"/>
  <c r="R21"/>
  <c r="V13"/>
  <c r="X11"/>
  <c r="T28"/>
  <c r="AB19"/>
  <c r="T212"/>
  <c r="G163"/>
  <c r="R172"/>
  <c r="R28"/>
  <c r="R18"/>
  <c r="X13"/>
  <c r="T198"/>
  <c r="X171"/>
  <c r="X26"/>
  <c r="X16"/>
  <c r="V201"/>
  <c r="V173"/>
  <c r="V26"/>
  <c r="V16"/>
  <c r="X9"/>
  <c r="V202"/>
  <c r="T167"/>
  <c r="Z26"/>
  <c r="X173"/>
  <c r="V181"/>
  <c r="V207"/>
  <c r="R195"/>
  <c r="T176"/>
  <c r="T166"/>
  <c r="T26"/>
  <c r="AB18"/>
  <c r="V213"/>
  <c r="R201"/>
  <c r="R181"/>
  <c r="R171"/>
  <c r="Z28"/>
  <c r="V22"/>
  <c r="R16"/>
  <c r="X14"/>
  <c r="R207"/>
  <c r="T193"/>
  <c r="X175"/>
  <c r="X165"/>
  <c r="AB24"/>
  <c r="X18"/>
  <c r="R213"/>
  <c r="T200"/>
  <c r="V180"/>
  <c r="V170"/>
  <c r="V28"/>
  <c r="R22"/>
  <c r="Z14"/>
  <c r="T165"/>
  <c r="T11"/>
  <c r="V29"/>
  <c r="R202"/>
  <c r="T29"/>
  <c r="T205"/>
  <c r="R19"/>
  <c r="T206"/>
  <c r="T172"/>
  <c r="R165"/>
  <c r="T24"/>
  <c r="Z12"/>
  <c r="R175"/>
  <c r="R208"/>
  <c r="AB12"/>
  <c r="AE210" i="6" l="1"/>
  <c r="AI210"/>
  <c r="AU210"/>
  <c r="AT400"/>
  <c r="AT399"/>
  <c r="AI218" i="14"/>
  <c r="AT218"/>
  <c r="AF225"/>
  <c r="O5" i="6"/>
  <c r="R5"/>
  <c r="S5"/>
  <c r="V5"/>
  <c r="AE5"/>
  <c r="AF5" s="1"/>
  <c r="AH5"/>
  <c r="AI5"/>
  <c r="AJ5" s="1"/>
  <c r="AL5"/>
  <c r="AU5"/>
  <c r="AV5" s="1"/>
  <c r="AW5"/>
  <c r="AX5" s="1"/>
  <c r="O6"/>
  <c r="R6" s="1"/>
  <c r="S6"/>
  <c r="V6" s="1"/>
  <c r="AE6"/>
  <c r="AI6"/>
  <c r="AU6"/>
  <c r="AV6" s="1"/>
  <c r="AW6"/>
  <c r="AX6" s="1"/>
  <c r="O7"/>
  <c r="R7" s="1"/>
  <c r="S7"/>
  <c r="V7" s="1"/>
  <c r="AE7"/>
  <c r="AI7"/>
  <c r="AU7"/>
  <c r="AV7" s="1"/>
  <c r="AW7"/>
  <c r="AX7" s="1"/>
  <c r="O8"/>
  <c r="R8" s="1"/>
  <c r="S8"/>
  <c r="V8" s="1"/>
  <c r="AE8"/>
  <c r="AI8"/>
  <c r="AU8"/>
  <c r="AV8" s="1"/>
  <c r="AW8"/>
  <c r="AX8" s="1"/>
  <c r="O9"/>
  <c r="R9" s="1"/>
  <c r="S9"/>
  <c r="V9" s="1"/>
  <c r="AE9"/>
  <c r="AI9"/>
  <c r="AU9"/>
  <c r="AV9" s="1"/>
  <c r="AW9"/>
  <c r="AX9" s="1"/>
  <c r="O10"/>
  <c r="R10" s="1"/>
  <c r="S10"/>
  <c r="V10" s="1"/>
  <c r="AE10"/>
  <c r="AI10"/>
  <c r="AU10"/>
  <c r="AV10" s="1"/>
  <c r="AW10"/>
  <c r="AX10" s="1"/>
  <c r="O11"/>
  <c r="R11" s="1"/>
  <c r="S11"/>
  <c r="V11" s="1"/>
  <c r="AE11"/>
  <c r="AI11"/>
  <c r="AU11"/>
  <c r="AV11" s="1"/>
  <c r="AW11"/>
  <c r="AX11" s="1"/>
  <c r="O12"/>
  <c r="R12" s="1"/>
  <c r="S12"/>
  <c r="V12" s="1"/>
  <c r="AE12"/>
  <c r="AI12"/>
  <c r="AU12"/>
  <c r="AV12" s="1"/>
  <c r="AW12"/>
  <c r="AX12" s="1"/>
  <c r="O13"/>
  <c r="R13" s="1"/>
  <c r="S13"/>
  <c r="V13" s="1"/>
  <c r="AE13"/>
  <c r="AI13"/>
  <c r="AU13"/>
  <c r="AV13" s="1"/>
  <c r="AW13"/>
  <c r="AX13" s="1"/>
  <c r="O14"/>
  <c r="R14" s="1"/>
  <c r="S14"/>
  <c r="V14" s="1"/>
  <c r="AE14"/>
  <c r="AI14"/>
  <c r="AU14"/>
  <c r="AV14" s="1"/>
  <c r="AW14"/>
  <c r="AX14" s="1"/>
  <c r="O15"/>
  <c r="R15" s="1"/>
  <c r="S15"/>
  <c r="V15" s="1"/>
  <c r="AE15"/>
  <c r="AI15"/>
  <c r="AU15"/>
  <c r="AV15" s="1"/>
  <c r="AW15"/>
  <c r="AX15" s="1"/>
  <c r="O16"/>
  <c r="R16" s="1"/>
  <c r="S16"/>
  <c r="V16" s="1"/>
  <c r="AE16"/>
  <c r="AI16"/>
  <c r="AU16"/>
  <c r="AV16" s="1"/>
  <c r="AW16"/>
  <c r="AX16" s="1"/>
  <c r="O17"/>
  <c r="R17" s="1"/>
  <c r="S17"/>
  <c r="V17" s="1"/>
  <c r="AE17"/>
  <c r="AI17"/>
  <c r="AU17"/>
  <c r="AV17" s="1"/>
  <c r="AW17"/>
  <c r="AX17" s="1"/>
  <c r="O18"/>
  <c r="R18" s="1"/>
  <c r="S18"/>
  <c r="V18" s="1"/>
  <c r="AE18"/>
  <c r="AI18"/>
  <c r="AU18"/>
  <c r="AV18" s="1"/>
  <c r="AW18"/>
  <c r="AX18" s="1"/>
  <c r="O19"/>
  <c r="R19" s="1"/>
  <c r="S19"/>
  <c r="V19" s="1"/>
  <c r="AE19"/>
  <c r="AI19"/>
  <c r="AU19"/>
  <c r="AV19" s="1"/>
  <c r="AW19"/>
  <c r="AX19" s="1"/>
  <c r="O20"/>
  <c r="R20" s="1"/>
  <c r="S20"/>
  <c r="V20" s="1"/>
  <c r="AE20"/>
  <c r="AI20"/>
  <c r="AU20"/>
  <c r="AV20" s="1"/>
  <c r="AW20"/>
  <c r="AX20" s="1"/>
  <c r="O21"/>
  <c r="R21" s="1"/>
  <c r="S21"/>
  <c r="V21" s="1"/>
  <c r="AE21"/>
  <c r="AI21"/>
  <c r="AU21"/>
  <c r="AV21" s="1"/>
  <c r="AW21"/>
  <c r="AX21" s="1"/>
  <c r="O22"/>
  <c r="R22" s="1"/>
  <c r="S22"/>
  <c r="V22" s="1"/>
  <c r="AE22"/>
  <c r="AI22"/>
  <c r="AU22"/>
  <c r="AV22" s="1"/>
  <c r="AW22"/>
  <c r="AX22" s="1"/>
  <c r="O23"/>
  <c r="R23" s="1"/>
  <c r="S23"/>
  <c r="V23" s="1"/>
  <c r="AE23"/>
  <c r="AI23"/>
  <c r="AU23"/>
  <c r="AV23" s="1"/>
  <c r="AW23"/>
  <c r="AX23" s="1"/>
  <c r="O24"/>
  <c r="R24" s="1"/>
  <c r="S24"/>
  <c r="V24" s="1"/>
  <c r="AE24"/>
  <c r="AI24"/>
  <c r="AU24"/>
  <c r="AV24" s="1"/>
  <c r="AW24"/>
  <c r="AX24" s="1"/>
  <c r="O25"/>
  <c r="R25" s="1"/>
  <c r="S25"/>
  <c r="V25" s="1"/>
  <c r="AE25"/>
  <c r="AI25"/>
  <c r="AU25"/>
  <c r="AV25" s="1"/>
  <c r="AW25"/>
  <c r="AX25" s="1"/>
  <c r="O26"/>
  <c r="R26" s="1"/>
  <c r="S26"/>
  <c r="V26" s="1"/>
  <c r="AE26"/>
  <c r="AI26"/>
  <c r="AU26"/>
  <c r="AV26" s="1"/>
  <c r="AW26"/>
  <c r="AX26" s="1"/>
  <c r="O27"/>
  <c r="R27" s="1"/>
  <c r="S27"/>
  <c r="V27" s="1"/>
  <c r="AE27"/>
  <c r="AI27"/>
  <c r="AU27"/>
  <c r="AV27" s="1"/>
  <c r="AW27"/>
  <c r="AX27" s="1"/>
  <c r="O28"/>
  <c r="R28" s="1"/>
  <c r="S28"/>
  <c r="V28" s="1"/>
  <c r="AE28"/>
  <c r="AI28"/>
  <c r="AU28"/>
  <c r="AV28" s="1"/>
  <c r="AW28"/>
  <c r="AX28" s="1"/>
  <c r="O29"/>
  <c r="R29" s="1"/>
  <c r="S29"/>
  <c r="V29" s="1"/>
  <c r="AE29"/>
  <c r="AI29"/>
  <c r="AU29"/>
  <c r="AV29" s="1"/>
  <c r="AW29"/>
  <c r="AX29" s="1"/>
  <c r="O30"/>
  <c r="R30" s="1"/>
  <c r="S30"/>
  <c r="V30" s="1"/>
  <c r="AE30"/>
  <c r="AI30"/>
  <c r="AU30"/>
  <c r="AV30" s="1"/>
  <c r="AW30"/>
  <c r="AX30" s="1"/>
  <c r="O31"/>
  <c r="R31" s="1"/>
  <c r="S31"/>
  <c r="V31" s="1"/>
  <c r="AE31"/>
  <c r="AI31"/>
  <c r="AU31"/>
  <c r="AV31" s="1"/>
  <c r="AW31"/>
  <c r="AX31" s="1"/>
  <c r="O32"/>
  <c r="R32" s="1"/>
  <c r="S32"/>
  <c r="V32" s="1"/>
  <c r="AE32"/>
  <c r="AI32"/>
  <c r="AU32"/>
  <c r="AV32" s="1"/>
  <c r="AW32"/>
  <c r="AX32" s="1"/>
  <c r="O33"/>
  <c r="R33" s="1"/>
  <c r="S33"/>
  <c r="V33" s="1"/>
  <c r="AE33"/>
  <c r="AI33"/>
  <c r="AU33"/>
  <c r="AV33" s="1"/>
  <c r="AW33"/>
  <c r="AX33" s="1"/>
  <c r="O34"/>
  <c r="R34" s="1"/>
  <c r="S34"/>
  <c r="V34" s="1"/>
  <c r="AE34"/>
  <c r="AI34"/>
  <c r="AU34"/>
  <c r="AV34" s="1"/>
  <c r="AW34"/>
  <c r="AX34" s="1"/>
  <c r="O35"/>
  <c r="R35" s="1"/>
  <c r="S35"/>
  <c r="V35" s="1"/>
  <c r="AE35"/>
  <c r="AI35"/>
  <c r="AU35"/>
  <c r="AV35" s="1"/>
  <c r="AW35"/>
  <c r="AX35" s="1"/>
  <c r="O36"/>
  <c r="R36" s="1"/>
  <c r="S36"/>
  <c r="V36" s="1"/>
  <c r="AE36"/>
  <c r="AI36"/>
  <c r="AU36"/>
  <c r="AV36" s="1"/>
  <c r="AW36"/>
  <c r="AX36" s="1"/>
  <c r="O37"/>
  <c r="R37" s="1"/>
  <c r="S37"/>
  <c r="V37" s="1"/>
  <c r="AE37"/>
  <c r="AI37"/>
  <c r="AU37"/>
  <c r="AV37" s="1"/>
  <c r="AW37"/>
  <c r="AX37" s="1"/>
  <c r="O38"/>
  <c r="R38" s="1"/>
  <c r="S38"/>
  <c r="V38" s="1"/>
  <c r="AE38"/>
  <c r="AI38"/>
  <c r="AU38"/>
  <c r="AV38" s="1"/>
  <c r="AW38"/>
  <c r="AX38" s="1"/>
  <c r="O39"/>
  <c r="R39" s="1"/>
  <c r="S39"/>
  <c r="V39" s="1"/>
  <c r="AE39"/>
  <c r="AI39"/>
  <c r="AU39"/>
  <c r="AV39" s="1"/>
  <c r="AW39"/>
  <c r="AX39" s="1"/>
  <c r="O40"/>
  <c r="R40" s="1"/>
  <c r="S40"/>
  <c r="V40" s="1"/>
  <c r="AE40"/>
  <c r="AI40"/>
  <c r="AU40"/>
  <c r="AV40" s="1"/>
  <c r="AW40"/>
  <c r="AX40" s="1"/>
  <c r="O41"/>
  <c r="R41" s="1"/>
  <c r="S41"/>
  <c r="V41" s="1"/>
  <c r="AE41"/>
  <c r="AI41"/>
  <c r="AU41"/>
  <c r="AV41" s="1"/>
  <c r="AW41"/>
  <c r="AX41" s="1"/>
  <c r="O42"/>
  <c r="R42" s="1"/>
  <c r="S42"/>
  <c r="V42" s="1"/>
  <c r="AE42"/>
  <c r="AI42"/>
  <c r="AU42"/>
  <c r="AV42" s="1"/>
  <c r="AW42"/>
  <c r="AX42" s="1"/>
  <c r="O43"/>
  <c r="R43" s="1"/>
  <c r="S43"/>
  <c r="V43" s="1"/>
  <c r="AE43"/>
  <c r="AI43"/>
  <c r="AU43"/>
  <c r="AV43" s="1"/>
  <c r="AW43"/>
  <c r="AX43" s="1"/>
  <c r="O44"/>
  <c r="S44"/>
  <c r="AE44"/>
  <c r="AI44"/>
  <c r="AU44"/>
  <c r="AV44" s="1"/>
  <c r="AW44"/>
  <c r="AX44" s="1"/>
  <c r="O45"/>
  <c r="S45"/>
  <c r="AE45"/>
  <c r="AI45"/>
  <c r="AU45"/>
  <c r="AV45" s="1"/>
  <c r="AW45"/>
  <c r="AX45" s="1"/>
  <c r="O46"/>
  <c r="S46"/>
  <c r="AE46"/>
  <c r="AI46"/>
  <c r="AU46"/>
  <c r="AV46" s="1"/>
  <c r="AW46"/>
  <c r="AX46" s="1"/>
  <c r="O47"/>
  <c r="S47"/>
  <c r="T47" s="1"/>
  <c r="AE47"/>
  <c r="AI47"/>
  <c r="AU47"/>
  <c r="AV47" s="1"/>
  <c r="AW47"/>
  <c r="AX47" s="1"/>
  <c r="O48"/>
  <c r="S48"/>
  <c r="AE48"/>
  <c r="AI48"/>
  <c r="AU48"/>
  <c r="AV48" s="1"/>
  <c r="AW48"/>
  <c r="AX48" s="1"/>
  <c r="O49"/>
  <c r="S49"/>
  <c r="AE49"/>
  <c r="AI49"/>
  <c r="AU49"/>
  <c r="AV49" s="1"/>
  <c r="AW49"/>
  <c r="AX49" s="1"/>
  <c r="O50"/>
  <c r="S50"/>
  <c r="AE50"/>
  <c r="AI50"/>
  <c r="AU50"/>
  <c r="AV50" s="1"/>
  <c r="AW50"/>
  <c r="AX50" s="1"/>
  <c r="O51"/>
  <c r="S51"/>
  <c r="AE51"/>
  <c r="AI51"/>
  <c r="AU51"/>
  <c r="AV51" s="1"/>
  <c r="AW51"/>
  <c r="AX51" s="1"/>
  <c r="O52"/>
  <c r="S52"/>
  <c r="AE52"/>
  <c r="AI52"/>
  <c r="AU52"/>
  <c r="AV52" s="1"/>
  <c r="AW52"/>
  <c r="AX52" s="1"/>
  <c r="O53"/>
  <c r="S53"/>
  <c r="AE53"/>
  <c r="AI53"/>
  <c r="AU53"/>
  <c r="AV53" s="1"/>
  <c r="AW53"/>
  <c r="AX53" s="1"/>
  <c r="O54"/>
  <c r="S54"/>
  <c r="AE54"/>
  <c r="AI54"/>
  <c r="AU54"/>
  <c r="AV54" s="1"/>
  <c r="AW54"/>
  <c r="AX54" s="1"/>
  <c r="O55"/>
  <c r="S55"/>
  <c r="AE55"/>
  <c r="AI55"/>
  <c r="AU55"/>
  <c r="AV55" s="1"/>
  <c r="AW55"/>
  <c r="AX55" s="1"/>
  <c r="O56"/>
  <c r="S56"/>
  <c r="AE56"/>
  <c r="AI56"/>
  <c r="AU56"/>
  <c r="AV56" s="1"/>
  <c r="AW56"/>
  <c r="AX56" s="1"/>
  <c r="O57"/>
  <c r="S57"/>
  <c r="AE57"/>
  <c r="AI57"/>
  <c r="AU57"/>
  <c r="AV57" s="1"/>
  <c r="AW57"/>
  <c r="AX57" s="1"/>
  <c r="O58"/>
  <c r="S58"/>
  <c r="AE58"/>
  <c r="AI58"/>
  <c r="AU58"/>
  <c r="AV58" s="1"/>
  <c r="AW58"/>
  <c r="AX58" s="1"/>
  <c r="O59"/>
  <c r="S59"/>
  <c r="AE59"/>
  <c r="AI59"/>
  <c r="AU59"/>
  <c r="AV59" s="1"/>
  <c r="AW59"/>
  <c r="AX59" s="1"/>
  <c r="O60"/>
  <c r="S60"/>
  <c r="AE60"/>
  <c r="AI60"/>
  <c r="AU60"/>
  <c r="AV60" s="1"/>
  <c r="AW60"/>
  <c r="AX60" s="1"/>
  <c r="O61"/>
  <c r="S61"/>
  <c r="AE61"/>
  <c r="AI61"/>
  <c r="AU61"/>
  <c r="AV61" s="1"/>
  <c r="AW61"/>
  <c r="AX61" s="1"/>
  <c r="O62"/>
  <c r="S62"/>
  <c r="AE62"/>
  <c r="AI62"/>
  <c r="AU62"/>
  <c r="AV62" s="1"/>
  <c r="AW62"/>
  <c r="AX62" s="1"/>
  <c r="O63"/>
  <c r="S63"/>
  <c r="AE63"/>
  <c r="AI63"/>
  <c r="AU63"/>
  <c r="AV63" s="1"/>
  <c r="AW63"/>
  <c r="AX63" s="1"/>
  <c r="O64"/>
  <c r="S64"/>
  <c r="AE64"/>
  <c r="AI64"/>
  <c r="AU64"/>
  <c r="AV64" s="1"/>
  <c r="AW64"/>
  <c r="AX64" s="1"/>
  <c r="O65"/>
  <c r="S65"/>
  <c r="AE65"/>
  <c r="AI65"/>
  <c r="AU65"/>
  <c r="AV65" s="1"/>
  <c r="AW65"/>
  <c r="AX65" s="1"/>
  <c r="O66"/>
  <c r="S66"/>
  <c r="AE66"/>
  <c r="AI66"/>
  <c r="AU66"/>
  <c r="AV66" s="1"/>
  <c r="AW66"/>
  <c r="AX66" s="1"/>
  <c r="O67"/>
  <c r="S67"/>
  <c r="AE67"/>
  <c r="AI67"/>
  <c r="AU67"/>
  <c r="AV67" s="1"/>
  <c r="AW67"/>
  <c r="AX67" s="1"/>
  <c r="O68"/>
  <c r="S68"/>
  <c r="AE68"/>
  <c r="AI68"/>
  <c r="AU68"/>
  <c r="AV68" s="1"/>
  <c r="AW68"/>
  <c r="AX68" s="1"/>
  <c r="O69"/>
  <c r="S69"/>
  <c r="AE69"/>
  <c r="AI69"/>
  <c r="AU69"/>
  <c r="AV69" s="1"/>
  <c r="AW69"/>
  <c r="AX69" s="1"/>
  <c r="O70"/>
  <c r="S70"/>
  <c r="AE70"/>
  <c r="AI70"/>
  <c r="AU70"/>
  <c r="AV70" s="1"/>
  <c r="AW70"/>
  <c r="AX70" s="1"/>
  <c r="O71"/>
  <c r="S71"/>
  <c r="AE71"/>
  <c r="AI71"/>
  <c r="AU71"/>
  <c r="AV71" s="1"/>
  <c r="AW71"/>
  <c r="AX71" s="1"/>
  <c r="O72"/>
  <c r="S72"/>
  <c r="AE72"/>
  <c r="AI72"/>
  <c r="AU72"/>
  <c r="AV72" s="1"/>
  <c r="AW72"/>
  <c r="AX72" s="1"/>
  <c r="O73"/>
  <c r="S73"/>
  <c r="AE73"/>
  <c r="AI73"/>
  <c r="AU73"/>
  <c r="AV73" s="1"/>
  <c r="AW73"/>
  <c r="AX73" s="1"/>
  <c r="O74"/>
  <c r="S74"/>
  <c r="AE74"/>
  <c r="AI74"/>
  <c r="AU74"/>
  <c r="AV74" s="1"/>
  <c r="AW74"/>
  <c r="AX74" s="1"/>
  <c r="O75"/>
  <c r="S75"/>
  <c r="AE75"/>
  <c r="AI75"/>
  <c r="AU75"/>
  <c r="AV75" s="1"/>
  <c r="AW75"/>
  <c r="AX75" s="1"/>
  <c r="O76"/>
  <c r="R76" s="1"/>
  <c r="S76"/>
  <c r="V76" s="1"/>
  <c r="AE76"/>
  <c r="AI76"/>
  <c r="AU76"/>
  <c r="AV76" s="1"/>
  <c r="AW76"/>
  <c r="AX76" s="1"/>
  <c r="O77"/>
  <c r="R77" s="1"/>
  <c r="S77"/>
  <c r="V77" s="1"/>
  <c r="AE77"/>
  <c r="AI77"/>
  <c r="AU77"/>
  <c r="AV77" s="1"/>
  <c r="AW77"/>
  <c r="AX77" s="1"/>
  <c r="O78"/>
  <c r="R78" s="1"/>
  <c r="S78"/>
  <c r="V78" s="1"/>
  <c r="AE78"/>
  <c r="AI78"/>
  <c r="AU78"/>
  <c r="AV78" s="1"/>
  <c r="AW78"/>
  <c r="AX78" s="1"/>
  <c r="O79"/>
  <c r="R79" s="1"/>
  <c r="S79"/>
  <c r="V79"/>
  <c r="AE79"/>
  <c r="AI79"/>
  <c r="AU79"/>
  <c r="AV79" s="1"/>
  <c r="AW79"/>
  <c r="AX79" s="1"/>
  <c r="O80"/>
  <c r="R80" s="1"/>
  <c r="S80"/>
  <c r="V80" s="1"/>
  <c r="AE80"/>
  <c r="AI80"/>
  <c r="AU80"/>
  <c r="AV80" s="1"/>
  <c r="AW80"/>
  <c r="AX80" s="1"/>
  <c r="O81"/>
  <c r="S81"/>
  <c r="AE81"/>
  <c r="AI81"/>
  <c r="AU81"/>
  <c r="AV81" s="1"/>
  <c r="AW81"/>
  <c r="AX81" s="1"/>
  <c r="O82"/>
  <c r="S82"/>
  <c r="AE82"/>
  <c r="AI82"/>
  <c r="AU82"/>
  <c r="AV82" s="1"/>
  <c r="AW82"/>
  <c r="AX82" s="1"/>
  <c r="O83"/>
  <c r="S83"/>
  <c r="AE83"/>
  <c r="AI83"/>
  <c r="AU83"/>
  <c r="AV83" s="1"/>
  <c r="AW83"/>
  <c r="AX83" s="1"/>
  <c r="O84"/>
  <c r="S84"/>
  <c r="AE84"/>
  <c r="AI84"/>
  <c r="AU84"/>
  <c r="AV84" s="1"/>
  <c r="AW84"/>
  <c r="AX84" s="1"/>
  <c r="O85"/>
  <c r="S85"/>
  <c r="AE85"/>
  <c r="AI85"/>
  <c r="AU85"/>
  <c r="AV85" s="1"/>
  <c r="AW85"/>
  <c r="AX85" s="1"/>
  <c r="O86"/>
  <c r="S86"/>
  <c r="AE86"/>
  <c r="AI86"/>
  <c r="AU86"/>
  <c r="AV86" s="1"/>
  <c r="AW86"/>
  <c r="AX86" s="1"/>
  <c r="O87"/>
  <c r="S87"/>
  <c r="AE87"/>
  <c r="AI87"/>
  <c r="AU87"/>
  <c r="AV87" s="1"/>
  <c r="AW87"/>
  <c r="AX87" s="1"/>
  <c r="O88"/>
  <c r="S88"/>
  <c r="AE88"/>
  <c r="AI88"/>
  <c r="AU88"/>
  <c r="AV88" s="1"/>
  <c r="AW88"/>
  <c r="AX88" s="1"/>
  <c r="O89"/>
  <c r="S89"/>
  <c r="AE89"/>
  <c r="AI89"/>
  <c r="AU89"/>
  <c r="AV89" s="1"/>
  <c r="AW89"/>
  <c r="AX89" s="1"/>
  <c r="O90"/>
  <c r="S90"/>
  <c r="AE90"/>
  <c r="AI90"/>
  <c r="AU90"/>
  <c r="AV90" s="1"/>
  <c r="AW90"/>
  <c r="AX90" s="1"/>
  <c r="O91"/>
  <c r="S91"/>
  <c r="AE91"/>
  <c r="AI91"/>
  <c r="AU91"/>
  <c r="AV91" s="1"/>
  <c r="AW91"/>
  <c r="AX91" s="1"/>
  <c r="O92"/>
  <c r="R92" s="1"/>
  <c r="S92"/>
  <c r="AE92"/>
  <c r="AH92" s="1"/>
  <c r="AI92"/>
  <c r="AU92"/>
  <c r="AV92" s="1"/>
  <c r="AW92"/>
  <c r="AX92" s="1"/>
  <c r="O93"/>
  <c r="R93" s="1"/>
  <c r="S93"/>
  <c r="AE93"/>
  <c r="AH93" s="1"/>
  <c r="AI93"/>
  <c r="AU93"/>
  <c r="AV93" s="1"/>
  <c r="AW93"/>
  <c r="AX93" s="1"/>
  <c r="O94"/>
  <c r="R94" s="1"/>
  <c r="S94"/>
  <c r="AE94"/>
  <c r="AH94" s="1"/>
  <c r="AI94"/>
  <c r="AU94"/>
  <c r="AV94" s="1"/>
  <c r="AW94"/>
  <c r="AX94" s="1"/>
  <c r="O95"/>
  <c r="R95" s="1"/>
  <c r="S95"/>
  <c r="AE95"/>
  <c r="AH95" s="1"/>
  <c r="AI95"/>
  <c r="AU95"/>
  <c r="AV95" s="1"/>
  <c r="AW95"/>
  <c r="AX95" s="1"/>
  <c r="O96"/>
  <c r="R96" s="1"/>
  <c r="S96"/>
  <c r="AE96"/>
  <c r="AH96" s="1"/>
  <c r="AI96"/>
  <c r="AU96"/>
  <c r="AV96" s="1"/>
  <c r="AW96"/>
  <c r="AX96" s="1"/>
  <c r="O97"/>
  <c r="R97" s="1"/>
  <c r="S97"/>
  <c r="AE97"/>
  <c r="AH97" s="1"/>
  <c r="AI97"/>
  <c r="AU97"/>
  <c r="AV97" s="1"/>
  <c r="AW97"/>
  <c r="AX97" s="1"/>
  <c r="O98"/>
  <c r="R98" s="1"/>
  <c r="S98"/>
  <c r="AE98"/>
  <c r="AH98" s="1"/>
  <c r="AI98"/>
  <c r="AU98"/>
  <c r="AV98" s="1"/>
  <c r="AW98"/>
  <c r="AX98" s="1"/>
  <c r="O99"/>
  <c r="R99" s="1"/>
  <c r="S99"/>
  <c r="AE99"/>
  <c r="AH99" s="1"/>
  <c r="AI99"/>
  <c r="AU99"/>
  <c r="AV99" s="1"/>
  <c r="AW99"/>
  <c r="AX99" s="1"/>
  <c r="O100"/>
  <c r="R100" s="1"/>
  <c r="S100"/>
  <c r="AE100"/>
  <c r="AH100" s="1"/>
  <c r="AI100"/>
  <c r="AU100"/>
  <c r="AV100" s="1"/>
  <c r="AW100"/>
  <c r="AX100" s="1"/>
  <c r="O101"/>
  <c r="R101" s="1"/>
  <c r="S101"/>
  <c r="AE101"/>
  <c r="AH101" s="1"/>
  <c r="AI101"/>
  <c r="AU101"/>
  <c r="AV101" s="1"/>
  <c r="AW101"/>
  <c r="AX101" s="1"/>
  <c r="O102"/>
  <c r="R102" s="1"/>
  <c r="S102"/>
  <c r="AE102"/>
  <c r="AH102" s="1"/>
  <c r="AI102"/>
  <c r="AU102"/>
  <c r="AV102" s="1"/>
  <c r="AW102"/>
  <c r="AX102" s="1"/>
  <c r="O103"/>
  <c r="R103" s="1"/>
  <c r="S103"/>
  <c r="AE103"/>
  <c r="AH103" s="1"/>
  <c r="AI103"/>
  <c r="AU103"/>
  <c r="AV103" s="1"/>
  <c r="AW103"/>
  <c r="AX103" s="1"/>
  <c r="O104"/>
  <c r="R104" s="1"/>
  <c r="S104"/>
  <c r="AE104"/>
  <c r="AH104" s="1"/>
  <c r="AI104"/>
  <c r="AU104"/>
  <c r="AV104" s="1"/>
  <c r="AW104"/>
  <c r="AX104" s="1"/>
  <c r="O105"/>
  <c r="R105" s="1"/>
  <c r="S105"/>
  <c r="AE105"/>
  <c r="AH105" s="1"/>
  <c r="AI105"/>
  <c r="AU105"/>
  <c r="AV105" s="1"/>
  <c r="AW105"/>
  <c r="AX105" s="1"/>
  <c r="O106"/>
  <c r="R106" s="1"/>
  <c r="S106"/>
  <c r="AE106"/>
  <c r="AH106" s="1"/>
  <c r="AI106"/>
  <c r="AU106"/>
  <c r="AV106" s="1"/>
  <c r="AW106"/>
  <c r="AX106" s="1"/>
  <c r="O107"/>
  <c r="R107" s="1"/>
  <c r="S107"/>
  <c r="AE107"/>
  <c r="AH107" s="1"/>
  <c r="AI107"/>
  <c r="AU107"/>
  <c r="AV107" s="1"/>
  <c r="AW107"/>
  <c r="AX107" s="1"/>
  <c r="O108"/>
  <c r="R108" s="1"/>
  <c r="S108"/>
  <c r="AE108"/>
  <c r="AH108" s="1"/>
  <c r="AI108"/>
  <c r="AU108"/>
  <c r="AV108" s="1"/>
  <c r="AW108"/>
  <c r="AX108" s="1"/>
  <c r="O109"/>
  <c r="R109" s="1"/>
  <c r="S109"/>
  <c r="AE109"/>
  <c r="AH109" s="1"/>
  <c r="AI109"/>
  <c r="AU109"/>
  <c r="AV109" s="1"/>
  <c r="AW109"/>
  <c r="AX109" s="1"/>
  <c r="O110"/>
  <c r="R110" s="1"/>
  <c r="S110"/>
  <c r="AE110"/>
  <c r="AH110" s="1"/>
  <c r="AI110"/>
  <c r="AU110"/>
  <c r="AV110" s="1"/>
  <c r="AW110"/>
  <c r="AX110" s="1"/>
  <c r="O111"/>
  <c r="R111" s="1"/>
  <c r="S111"/>
  <c r="AE111"/>
  <c r="AH111" s="1"/>
  <c r="AI111"/>
  <c r="AU111"/>
  <c r="AV111" s="1"/>
  <c r="AW111"/>
  <c r="AX111" s="1"/>
  <c r="O112"/>
  <c r="R112" s="1"/>
  <c r="S112"/>
  <c r="AE112"/>
  <c r="AH112" s="1"/>
  <c r="AI112"/>
  <c r="AU112"/>
  <c r="AV112" s="1"/>
  <c r="AW112"/>
  <c r="AX112" s="1"/>
  <c r="O113"/>
  <c r="R113" s="1"/>
  <c r="S113"/>
  <c r="AE113"/>
  <c r="AH113" s="1"/>
  <c r="AI113"/>
  <c r="AU113"/>
  <c r="AV113" s="1"/>
  <c r="AW113"/>
  <c r="AX113" s="1"/>
  <c r="O114"/>
  <c r="R114" s="1"/>
  <c r="S114"/>
  <c r="AE114"/>
  <c r="AH114" s="1"/>
  <c r="AI114"/>
  <c r="AU114"/>
  <c r="AV114" s="1"/>
  <c r="AW114"/>
  <c r="AX114" s="1"/>
  <c r="O115"/>
  <c r="R115" s="1"/>
  <c r="S115"/>
  <c r="AE115"/>
  <c r="AH115" s="1"/>
  <c r="AI115"/>
  <c r="AU115"/>
  <c r="AV115" s="1"/>
  <c r="AW115"/>
  <c r="AX115" s="1"/>
  <c r="O116"/>
  <c r="R116" s="1"/>
  <c r="S116"/>
  <c r="AE116"/>
  <c r="AH116" s="1"/>
  <c r="AI116"/>
  <c r="AU116"/>
  <c r="AV116" s="1"/>
  <c r="AW116"/>
  <c r="AX116" s="1"/>
  <c r="O117"/>
  <c r="R117" s="1"/>
  <c r="S117"/>
  <c r="AE117"/>
  <c r="AH117" s="1"/>
  <c r="AI117"/>
  <c r="AU117"/>
  <c r="AV117" s="1"/>
  <c r="AW117"/>
  <c r="AX117" s="1"/>
  <c r="O118"/>
  <c r="R118" s="1"/>
  <c r="S118"/>
  <c r="AE118"/>
  <c r="AH118" s="1"/>
  <c r="AI118"/>
  <c r="AU118"/>
  <c r="AV118" s="1"/>
  <c r="AW118"/>
  <c r="AX118" s="1"/>
  <c r="O119"/>
  <c r="R119" s="1"/>
  <c r="S119"/>
  <c r="AE119"/>
  <c r="AH119" s="1"/>
  <c r="AI119"/>
  <c r="AU119"/>
  <c r="AV119" s="1"/>
  <c r="AW119"/>
  <c r="AX119" s="1"/>
  <c r="I120"/>
  <c r="J120"/>
  <c r="K120"/>
  <c r="L120"/>
  <c r="M120"/>
  <c r="N120"/>
  <c r="O120"/>
  <c r="R120" s="1"/>
  <c r="AE120"/>
  <c r="AI120"/>
  <c r="AU120"/>
  <c r="AV120" s="1"/>
  <c r="AW120"/>
  <c r="AX120" s="1"/>
  <c r="I121"/>
  <c r="J121"/>
  <c r="K121"/>
  <c r="L121"/>
  <c r="M121"/>
  <c r="N121"/>
  <c r="O121"/>
  <c r="R121" s="1"/>
  <c r="AE121"/>
  <c r="AI121"/>
  <c r="AU121"/>
  <c r="AV121" s="1"/>
  <c r="AW121"/>
  <c r="AX121" s="1"/>
  <c r="I122"/>
  <c r="J122"/>
  <c r="K122"/>
  <c r="L122"/>
  <c r="M122"/>
  <c r="N122"/>
  <c r="O122"/>
  <c r="R122" s="1"/>
  <c r="AE122"/>
  <c r="AI122"/>
  <c r="AU122"/>
  <c r="AV122" s="1"/>
  <c r="AW122"/>
  <c r="AX122" s="1"/>
  <c r="I123"/>
  <c r="J123"/>
  <c r="K123"/>
  <c r="L123"/>
  <c r="M123"/>
  <c r="N123"/>
  <c r="O123"/>
  <c r="R123" s="1"/>
  <c r="AE123"/>
  <c r="AI123"/>
  <c r="AU123"/>
  <c r="AV123" s="1"/>
  <c r="AW123"/>
  <c r="AX123" s="1"/>
  <c r="I124"/>
  <c r="J124"/>
  <c r="K124"/>
  <c r="L124"/>
  <c r="M124"/>
  <c r="N124"/>
  <c r="O124"/>
  <c r="R124" s="1"/>
  <c r="AE124"/>
  <c r="AI124"/>
  <c r="AJ124" s="1"/>
  <c r="AU124"/>
  <c r="AV124" s="1"/>
  <c r="AW124"/>
  <c r="AX124" s="1"/>
  <c r="I125"/>
  <c r="J125"/>
  <c r="K125"/>
  <c r="L125"/>
  <c r="M125"/>
  <c r="N125"/>
  <c r="O125"/>
  <c r="R125" s="1"/>
  <c r="AE125"/>
  <c r="AF125" s="1"/>
  <c r="AI125"/>
  <c r="AJ125" s="1"/>
  <c r="AU125"/>
  <c r="AV125" s="1"/>
  <c r="AW125"/>
  <c r="AX125" s="1"/>
  <c r="I126"/>
  <c r="J126"/>
  <c r="K126"/>
  <c r="L126"/>
  <c r="M126"/>
  <c r="N126"/>
  <c r="O126"/>
  <c r="R126" s="1"/>
  <c r="AE126"/>
  <c r="AF126" s="1"/>
  <c r="AI126"/>
  <c r="AJ126" s="1"/>
  <c r="AU126"/>
  <c r="AV126" s="1"/>
  <c r="AW126"/>
  <c r="AX126" s="1"/>
  <c r="I127"/>
  <c r="J127"/>
  <c r="K127"/>
  <c r="L127"/>
  <c r="M127"/>
  <c r="N127"/>
  <c r="O127"/>
  <c r="R127" s="1"/>
  <c r="AE127"/>
  <c r="AF127" s="1"/>
  <c r="AI127"/>
  <c r="AJ127" s="1"/>
  <c r="AU127"/>
  <c r="AV127" s="1"/>
  <c r="AW127"/>
  <c r="AX127" s="1"/>
  <c r="I128"/>
  <c r="J128"/>
  <c r="K128"/>
  <c r="L128"/>
  <c r="M128"/>
  <c r="N128"/>
  <c r="O128"/>
  <c r="R128" s="1"/>
  <c r="AE128"/>
  <c r="AF128" s="1"/>
  <c r="AI128"/>
  <c r="AJ128" s="1"/>
  <c r="AU128"/>
  <c r="AV128" s="1"/>
  <c r="AW128"/>
  <c r="AX128" s="1"/>
  <c r="I129"/>
  <c r="J129"/>
  <c r="K129"/>
  <c r="L129"/>
  <c r="M129"/>
  <c r="N129"/>
  <c r="O129"/>
  <c r="R129" s="1"/>
  <c r="AE129"/>
  <c r="AF129" s="1"/>
  <c r="AI129"/>
  <c r="AJ129" s="1"/>
  <c r="AU129"/>
  <c r="AV129" s="1"/>
  <c r="AW129"/>
  <c r="AX129" s="1"/>
  <c r="I130"/>
  <c r="J130"/>
  <c r="K130"/>
  <c r="L130"/>
  <c r="M130"/>
  <c r="N130"/>
  <c r="O130"/>
  <c r="R130" s="1"/>
  <c r="AE130"/>
  <c r="AF130" s="1"/>
  <c r="AI130"/>
  <c r="AJ130" s="1"/>
  <c r="AU130"/>
  <c r="AV130" s="1"/>
  <c r="AW130"/>
  <c r="AX130" s="1"/>
  <c r="I131"/>
  <c r="J131"/>
  <c r="K131"/>
  <c r="L131"/>
  <c r="M131"/>
  <c r="N131"/>
  <c r="O131"/>
  <c r="R131" s="1"/>
  <c r="AE131"/>
  <c r="AF131" s="1"/>
  <c r="AI131"/>
  <c r="AJ131" s="1"/>
  <c r="AU131"/>
  <c r="AV131" s="1"/>
  <c r="AW131"/>
  <c r="AX131" s="1"/>
  <c r="I132"/>
  <c r="J132"/>
  <c r="K132"/>
  <c r="L132"/>
  <c r="M132"/>
  <c r="N132"/>
  <c r="O132"/>
  <c r="R132" s="1"/>
  <c r="AE132"/>
  <c r="AF132" s="1"/>
  <c r="AI132"/>
  <c r="AJ132" s="1"/>
  <c r="AU132"/>
  <c r="AV132" s="1"/>
  <c r="AW132"/>
  <c r="AX132" s="1"/>
  <c r="I133"/>
  <c r="J133"/>
  <c r="K133"/>
  <c r="L133"/>
  <c r="M133"/>
  <c r="N133"/>
  <c r="O133"/>
  <c r="R133" s="1"/>
  <c r="AE133"/>
  <c r="AF133" s="1"/>
  <c r="AI133"/>
  <c r="AJ133" s="1"/>
  <c r="AU133"/>
  <c r="AV133" s="1"/>
  <c r="AW133"/>
  <c r="AX133" s="1"/>
  <c r="I134"/>
  <c r="J134"/>
  <c r="K134"/>
  <c r="L134"/>
  <c r="M134"/>
  <c r="N134"/>
  <c r="O134"/>
  <c r="R134" s="1"/>
  <c r="AE134"/>
  <c r="AF134" s="1"/>
  <c r="AI134"/>
  <c r="AJ134" s="1"/>
  <c r="AU134"/>
  <c r="AV134" s="1"/>
  <c r="AW134"/>
  <c r="AX134" s="1"/>
  <c r="I135"/>
  <c r="J135"/>
  <c r="K135"/>
  <c r="L135"/>
  <c r="M135"/>
  <c r="N135"/>
  <c r="O135"/>
  <c r="R135" s="1"/>
  <c r="AE135"/>
  <c r="AF135" s="1"/>
  <c r="AI135"/>
  <c r="AJ135" s="1"/>
  <c r="AU135"/>
  <c r="AV135" s="1"/>
  <c r="AW135"/>
  <c r="AX135" s="1"/>
  <c r="I136"/>
  <c r="J136"/>
  <c r="K136"/>
  <c r="L136"/>
  <c r="M136"/>
  <c r="N136"/>
  <c r="O136"/>
  <c r="R136" s="1"/>
  <c r="AE136"/>
  <c r="AI136"/>
  <c r="AU136"/>
  <c r="AV136" s="1"/>
  <c r="AW136"/>
  <c r="AX136" s="1"/>
  <c r="I137"/>
  <c r="J137"/>
  <c r="K137"/>
  <c r="L137"/>
  <c r="M137"/>
  <c r="N137"/>
  <c r="O137"/>
  <c r="R137" s="1"/>
  <c r="AE137"/>
  <c r="AI137"/>
  <c r="AU137"/>
  <c r="AV137" s="1"/>
  <c r="AW137"/>
  <c r="AX137" s="1"/>
  <c r="I138"/>
  <c r="J138"/>
  <c r="K138"/>
  <c r="L138"/>
  <c r="M138"/>
  <c r="N138"/>
  <c r="O138"/>
  <c r="R138" s="1"/>
  <c r="AE138"/>
  <c r="AI138"/>
  <c r="AU138"/>
  <c r="AV138" s="1"/>
  <c r="AW138"/>
  <c r="AX138" s="1"/>
  <c r="O139"/>
  <c r="R139" s="1"/>
  <c r="S139"/>
  <c r="AE139"/>
  <c r="AI139"/>
  <c r="AU139"/>
  <c r="AV139" s="1"/>
  <c r="AW139"/>
  <c r="AX139" s="1"/>
  <c r="J140"/>
  <c r="L140"/>
  <c r="N140"/>
  <c r="O140"/>
  <c r="R140" s="1"/>
  <c r="AE140"/>
  <c r="AI140"/>
  <c r="AU140"/>
  <c r="AV140" s="1"/>
  <c r="AW140"/>
  <c r="AX140" s="1"/>
  <c r="O141"/>
  <c r="R141" s="1"/>
  <c r="S141"/>
  <c r="AE141"/>
  <c r="AI141"/>
  <c r="AU141"/>
  <c r="AV141" s="1"/>
  <c r="AW141"/>
  <c r="AX141" s="1"/>
  <c r="O142"/>
  <c r="R142" s="1"/>
  <c r="S142"/>
  <c r="AE142"/>
  <c r="AI142"/>
  <c r="AU142"/>
  <c r="AV142" s="1"/>
  <c r="AW142"/>
  <c r="AX142" s="1"/>
  <c r="O143"/>
  <c r="R143" s="1"/>
  <c r="S143"/>
  <c r="AE143"/>
  <c r="AI143"/>
  <c r="AU143"/>
  <c r="AV143" s="1"/>
  <c r="AW143"/>
  <c r="AX143" s="1"/>
  <c r="I144"/>
  <c r="J144"/>
  <c r="K144"/>
  <c r="L144"/>
  <c r="M144"/>
  <c r="N144"/>
  <c r="O144"/>
  <c r="R144" s="1"/>
  <c r="AE144"/>
  <c r="AI144"/>
  <c r="AU144"/>
  <c r="AV144" s="1"/>
  <c r="AW144"/>
  <c r="AX144" s="1"/>
  <c r="O145"/>
  <c r="R145" s="1"/>
  <c r="S145"/>
  <c r="AE145"/>
  <c r="AI145"/>
  <c r="AU145"/>
  <c r="AV145" s="1"/>
  <c r="AW145"/>
  <c r="AX145" s="1"/>
  <c r="J146"/>
  <c r="L146"/>
  <c r="M146"/>
  <c r="N146"/>
  <c r="O146"/>
  <c r="R146" s="1"/>
  <c r="AE146"/>
  <c r="AI146"/>
  <c r="AU146"/>
  <c r="AV146" s="1"/>
  <c r="AW146"/>
  <c r="AX146" s="1"/>
  <c r="J147"/>
  <c r="L147"/>
  <c r="M147"/>
  <c r="N147"/>
  <c r="O147"/>
  <c r="R147" s="1"/>
  <c r="AE147"/>
  <c r="AI147"/>
  <c r="AU147"/>
  <c r="AV147" s="1"/>
  <c r="AW147"/>
  <c r="AX147" s="1"/>
  <c r="O148"/>
  <c r="R148" s="1"/>
  <c r="S148"/>
  <c r="AE148"/>
  <c r="AI148"/>
  <c r="AU148"/>
  <c r="AV148" s="1"/>
  <c r="AW148"/>
  <c r="AX148" s="1"/>
  <c r="O149"/>
  <c r="R149" s="1"/>
  <c r="S149"/>
  <c r="AE149"/>
  <c r="AI149"/>
  <c r="AU149"/>
  <c r="AV149" s="1"/>
  <c r="AW149"/>
  <c r="AX149" s="1"/>
  <c r="O150"/>
  <c r="R150" s="1"/>
  <c r="S150"/>
  <c r="AE150"/>
  <c r="AI150"/>
  <c r="AU150"/>
  <c r="AV150" s="1"/>
  <c r="AW150"/>
  <c r="AX150" s="1"/>
  <c r="O151"/>
  <c r="R151" s="1"/>
  <c r="S151"/>
  <c r="AE151"/>
  <c r="AI151"/>
  <c r="AU151"/>
  <c r="AV151" s="1"/>
  <c r="AW151"/>
  <c r="AX151" s="1"/>
  <c r="O152"/>
  <c r="S152"/>
  <c r="AE152"/>
  <c r="AI152"/>
  <c r="AU152"/>
  <c r="AV152" s="1"/>
  <c r="AW152"/>
  <c r="AX152" s="1"/>
  <c r="O153"/>
  <c r="S153"/>
  <c r="AE153"/>
  <c r="AI153"/>
  <c r="AU153"/>
  <c r="AV153" s="1"/>
  <c r="AW153"/>
  <c r="AX153" s="1"/>
  <c r="O154"/>
  <c r="S154"/>
  <c r="AE154"/>
  <c r="AI154"/>
  <c r="AU154"/>
  <c r="AV154" s="1"/>
  <c r="AW154"/>
  <c r="AX154" s="1"/>
  <c r="O155"/>
  <c r="S155"/>
  <c r="AE155"/>
  <c r="AI155"/>
  <c r="AU155"/>
  <c r="AV155" s="1"/>
  <c r="AW155"/>
  <c r="AX155" s="1"/>
  <c r="O156"/>
  <c r="S156"/>
  <c r="AE156"/>
  <c r="AI156"/>
  <c r="AU156"/>
  <c r="AV156" s="1"/>
  <c r="AW156"/>
  <c r="AX156" s="1"/>
  <c r="O157"/>
  <c r="S157"/>
  <c r="AE157"/>
  <c r="AI157"/>
  <c r="AU157"/>
  <c r="AV157" s="1"/>
  <c r="AW157"/>
  <c r="AX157" s="1"/>
  <c r="O158"/>
  <c r="S158"/>
  <c r="AE158"/>
  <c r="AI158"/>
  <c r="AU158"/>
  <c r="AV158" s="1"/>
  <c r="AW158"/>
  <c r="AX158" s="1"/>
  <c r="O159"/>
  <c r="S159"/>
  <c r="AE159"/>
  <c r="AI159"/>
  <c r="AU159"/>
  <c r="AV159" s="1"/>
  <c r="AW159"/>
  <c r="AX159" s="1"/>
  <c r="O160"/>
  <c r="S160"/>
  <c r="AE160"/>
  <c r="AI160"/>
  <c r="AU160"/>
  <c r="AV160" s="1"/>
  <c r="AW160"/>
  <c r="AX160" s="1"/>
  <c r="O161"/>
  <c r="S161"/>
  <c r="AE161"/>
  <c r="AI161"/>
  <c r="AU161"/>
  <c r="AV161" s="1"/>
  <c r="AW161"/>
  <c r="AX161" s="1"/>
  <c r="O162"/>
  <c r="S162"/>
  <c r="AE162"/>
  <c r="AI162"/>
  <c r="AU162"/>
  <c r="AV162" s="1"/>
  <c r="AW162"/>
  <c r="AX162" s="1"/>
  <c r="O163"/>
  <c r="S163"/>
  <c r="AE163"/>
  <c r="AI163"/>
  <c r="AU163"/>
  <c r="AV163" s="1"/>
  <c r="AW163"/>
  <c r="AX163" s="1"/>
  <c r="O164"/>
  <c r="S164"/>
  <c r="AE164"/>
  <c r="AI164"/>
  <c r="AU164"/>
  <c r="AV164" s="1"/>
  <c r="AW164"/>
  <c r="AX164" s="1"/>
  <c r="O165"/>
  <c r="S165"/>
  <c r="AE165"/>
  <c r="AI165"/>
  <c r="AU165"/>
  <c r="AV165" s="1"/>
  <c r="AW165"/>
  <c r="AX165" s="1"/>
  <c r="O166"/>
  <c r="S166"/>
  <c r="AE166"/>
  <c r="AI166"/>
  <c r="AU166"/>
  <c r="AV166" s="1"/>
  <c r="AW166"/>
  <c r="AX166" s="1"/>
  <c r="O167"/>
  <c r="S167"/>
  <c r="AE167"/>
  <c r="AI167"/>
  <c r="AU167"/>
  <c r="AV167" s="1"/>
  <c r="AW167"/>
  <c r="AX167" s="1"/>
  <c r="O168"/>
  <c r="S168"/>
  <c r="AE168"/>
  <c r="AI168"/>
  <c r="AU168"/>
  <c r="AV168" s="1"/>
  <c r="AW168"/>
  <c r="AX168" s="1"/>
  <c r="O169"/>
  <c r="S169"/>
  <c r="AE169"/>
  <c r="AI169"/>
  <c r="AU169"/>
  <c r="AV169" s="1"/>
  <c r="AW169"/>
  <c r="AX169" s="1"/>
  <c r="O170"/>
  <c r="S170"/>
  <c r="AE170"/>
  <c r="AI170"/>
  <c r="AU170"/>
  <c r="AV170" s="1"/>
  <c r="AW170"/>
  <c r="AX170" s="1"/>
  <c r="O171"/>
  <c r="S171"/>
  <c r="AE171"/>
  <c r="AI171"/>
  <c r="AU171"/>
  <c r="AV171" s="1"/>
  <c r="AW171"/>
  <c r="AX171" s="1"/>
  <c r="O172"/>
  <c r="S172"/>
  <c r="AE172"/>
  <c r="AI172"/>
  <c r="AU172"/>
  <c r="AV172" s="1"/>
  <c r="AW172"/>
  <c r="AX172" s="1"/>
  <c r="O173"/>
  <c r="S173"/>
  <c r="AE173"/>
  <c r="AI173"/>
  <c r="AU173"/>
  <c r="AV173" s="1"/>
  <c r="AW173"/>
  <c r="AX173" s="1"/>
  <c r="O174"/>
  <c r="S174"/>
  <c r="AE174"/>
  <c r="AI174"/>
  <c r="AU174"/>
  <c r="AV174" s="1"/>
  <c r="AW174"/>
  <c r="AX174" s="1"/>
  <c r="O175"/>
  <c r="S175"/>
  <c r="AE175"/>
  <c r="AI175"/>
  <c r="AU175"/>
  <c r="AV175" s="1"/>
  <c r="AW175"/>
  <c r="AX175" s="1"/>
  <c r="O176"/>
  <c r="S176"/>
  <c r="AE176"/>
  <c r="AI176"/>
  <c r="AU176"/>
  <c r="AV176" s="1"/>
  <c r="AW176"/>
  <c r="AX176" s="1"/>
  <c r="O177"/>
  <c r="S177"/>
  <c r="AE177"/>
  <c r="AI177"/>
  <c r="AU177"/>
  <c r="AV177" s="1"/>
  <c r="AW177"/>
  <c r="AX177" s="1"/>
  <c r="O178"/>
  <c r="S178"/>
  <c r="AE178"/>
  <c r="AI178"/>
  <c r="AU178"/>
  <c r="AV178" s="1"/>
  <c r="AW178"/>
  <c r="AX178" s="1"/>
  <c r="O179"/>
  <c r="S179"/>
  <c r="AE179"/>
  <c r="AI179"/>
  <c r="AU179"/>
  <c r="AV179" s="1"/>
  <c r="AW179"/>
  <c r="AX179" s="1"/>
  <c r="O180"/>
  <c r="S180"/>
  <c r="AE180"/>
  <c r="AI180"/>
  <c r="AU180"/>
  <c r="AV180" s="1"/>
  <c r="AW180"/>
  <c r="AX180" s="1"/>
  <c r="O181"/>
  <c r="S181"/>
  <c r="AE181"/>
  <c r="AI181"/>
  <c r="AU181"/>
  <c r="AV181" s="1"/>
  <c r="AW181"/>
  <c r="AX181" s="1"/>
  <c r="O182"/>
  <c r="S182"/>
  <c r="AE182"/>
  <c r="AI182"/>
  <c r="AU182"/>
  <c r="AV182" s="1"/>
  <c r="AW182"/>
  <c r="AX182" s="1"/>
  <c r="O183"/>
  <c r="S183"/>
  <c r="AE183"/>
  <c r="AI183"/>
  <c r="AU183"/>
  <c r="AV183" s="1"/>
  <c r="AW183"/>
  <c r="AX183" s="1"/>
  <c r="O184"/>
  <c r="S184"/>
  <c r="AE184"/>
  <c r="AI184"/>
  <c r="AU184"/>
  <c r="AV184" s="1"/>
  <c r="AW184"/>
  <c r="AX184" s="1"/>
  <c r="I185"/>
  <c r="J185"/>
  <c r="K185"/>
  <c r="L185"/>
  <c r="M185"/>
  <c r="N185"/>
  <c r="O185"/>
  <c r="S185"/>
  <c r="AE185"/>
  <c r="AI185"/>
  <c r="AU185"/>
  <c r="AV185" s="1"/>
  <c r="AW185"/>
  <c r="AX185" s="1"/>
  <c r="O186"/>
  <c r="S186"/>
  <c r="AE186"/>
  <c r="AI186"/>
  <c r="AU186"/>
  <c r="AV186" s="1"/>
  <c r="AW186"/>
  <c r="AX186" s="1"/>
  <c r="O187"/>
  <c r="S187"/>
  <c r="AE187"/>
  <c r="AI187"/>
  <c r="AU187"/>
  <c r="AV187" s="1"/>
  <c r="AW187"/>
  <c r="AX187" s="1"/>
  <c r="O188"/>
  <c r="S188"/>
  <c r="AE188"/>
  <c r="AI188"/>
  <c r="AU188"/>
  <c r="AV188" s="1"/>
  <c r="AW188"/>
  <c r="AX188" s="1"/>
  <c r="O189"/>
  <c r="S189"/>
  <c r="AE189"/>
  <c r="AI189"/>
  <c r="AU189"/>
  <c r="AV189" s="1"/>
  <c r="AW189"/>
  <c r="AX189" s="1"/>
  <c r="O190"/>
  <c r="S190"/>
  <c r="AE190"/>
  <c r="AI190"/>
  <c r="AU190"/>
  <c r="AV190" s="1"/>
  <c r="AW190"/>
  <c r="AX190" s="1"/>
  <c r="O191"/>
  <c r="S191"/>
  <c r="AE191"/>
  <c r="AI191"/>
  <c r="AU191"/>
  <c r="AV191" s="1"/>
  <c r="AW191"/>
  <c r="AX191" s="1"/>
  <c r="O192"/>
  <c r="S192"/>
  <c r="AE192"/>
  <c r="AI192"/>
  <c r="AU192"/>
  <c r="AV192" s="1"/>
  <c r="AW192"/>
  <c r="AX192" s="1"/>
  <c r="O193"/>
  <c r="S193"/>
  <c r="AE193"/>
  <c r="AI193"/>
  <c r="AU193"/>
  <c r="AV193" s="1"/>
  <c r="AW193"/>
  <c r="AX193" s="1"/>
  <c r="O194"/>
  <c r="S194"/>
  <c r="AE194"/>
  <c r="AI194"/>
  <c r="AU194"/>
  <c r="AV194" s="1"/>
  <c r="AW194"/>
  <c r="AX194" s="1"/>
  <c r="O195"/>
  <c r="S195"/>
  <c r="AE195"/>
  <c r="AI195"/>
  <c r="AU195"/>
  <c r="AV195" s="1"/>
  <c r="AW195"/>
  <c r="AX195" s="1"/>
  <c r="O196"/>
  <c r="S196"/>
  <c r="AE196"/>
  <c r="AI196"/>
  <c r="AU196"/>
  <c r="AV196" s="1"/>
  <c r="AW196"/>
  <c r="AX196" s="1"/>
  <c r="O197"/>
  <c r="S197"/>
  <c r="AE197"/>
  <c r="AI197"/>
  <c r="AU197"/>
  <c r="AV197" s="1"/>
  <c r="AW197"/>
  <c r="AX197" s="1"/>
  <c r="O198"/>
  <c r="S198"/>
  <c r="AE198"/>
  <c r="AI198"/>
  <c r="AU198"/>
  <c r="AV198" s="1"/>
  <c r="AW198"/>
  <c r="AX198" s="1"/>
  <c r="O199"/>
  <c r="S199"/>
  <c r="AE199"/>
  <c r="AI199"/>
  <c r="AU199"/>
  <c r="AV199" s="1"/>
  <c r="AW199"/>
  <c r="AX199" s="1"/>
  <c r="O200"/>
  <c r="S200"/>
  <c r="AE200"/>
  <c r="AI200"/>
  <c r="AU200"/>
  <c r="AV200" s="1"/>
  <c r="AW200"/>
  <c r="AX200" s="1"/>
  <c r="O201"/>
  <c r="S201"/>
  <c r="AE201"/>
  <c r="AI201"/>
  <c r="AU201"/>
  <c r="AV201" s="1"/>
  <c r="AW201"/>
  <c r="AX201" s="1"/>
  <c r="O202"/>
  <c r="S202"/>
  <c r="AE202"/>
  <c r="AI202"/>
  <c r="AU202"/>
  <c r="AV202" s="1"/>
  <c r="AW202"/>
  <c r="AX202" s="1"/>
  <c r="O203"/>
  <c r="S203"/>
  <c r="AE203"/>
  <c r="AI203"/>
  <c r="AU203"/>
  <c r="AV203" s="1"/>
  <c r="AW203"/>
  <c r="AX203" s="1"/>
  <c r="O204"/>
  <c r="S204"/>
  <c r="AE204"/>
  <c r="AI204"/>
  <c r="AU204"/>
  <c r="AV204" s="1"/>
  <c r="AW204"/>
  <c r="AX204" s="1"/>
  <c r="O205"/>
  <c r="S205"/>
  <c r="AE205"/>
  <c r="AI205"/>
  <c r="AU205"/>
  <c r="AV205" s="1"/>
  <c r="AW205"/>
  <c r="AX205" s="1"/>
  <c r="O206"/>
  <c r="S206"/>
  <c r="AE206"/>
  <c r="AI206"/>
  <c r="AU206"/>
  <c r="AV206" s="1"/>
  <c r="AW206"/>
  <c r="AX206" s="1"/>
  <c r="O207"/>
  <c r="S207"/>
  <c r="AE207"/>
  <c r="AI207"/>
  <c r="AU207"/>
  <c r="AV207" s="1"/>
  <c r="AW207"/>
  <c r="AX207" s="1"/>
  <c r="O208"/>
  <c r="S208"/>
  <c r="AE208"/>
  <c r="AI208"/>
  <c r="AU208"/>
  <c r="AV208" s="1"/>
  <c r="AW208"/>
  <c r="AX208" s="1"/>
  <c r="O209"/>
  <c r="S209"/>
  <c r="AE209"/>
  <c r="AI209"/>
  <c r="AU209"/>
  <c r="AV209" s="1"/>
  <c r="AW209"/>
  <c r="AX209" s="1"/>
  <c r="O210"/>
  <c r="S210"/>
  <c r="AV210"/>
  <c r="AW210"/>
  <c r="AX210" s="1"/>
  <c r="O211"/>
  <c r="S211"/>
  <c r="AE211"/>
  <c r="AI211"/>
  <c r="AU211"/>
  <c r="AV211" s="1"/>
  <c r="AW211"/>
  <c r="AX211" s="1"/>
  <c r="O212"/>
  <c r="S212"/>
  <c r="AE212"/>
  <c r="AI212"/>
  <c r="AU212"/>
  <c r="AV212" s="1"/>
  <c r="AW212"/>
  <c r="AX212" s="1"/>
  <c r="O213"/>
  <c r="S213"/>
  <c r="AE213"/>
  <c r="AI213"/>
  <c r="AU213"/>
  <c r="AV213" s="1"/>
  <c r="AW213"/>
  <c r="AX213" s="1"/>
  <c r="O214"/>
  <c r="S214"/>
  <c r="AE214"/>
  <c r="AI214"/>
  <c r="AU214"/>
  <c r="AV214" s="1"/>
  <c r="AW214"/>
  <c r="AX214" s="1"/>
  <c r="O215"/>
  <c r="S215"/>
  <c r="AE215"/>
  <c r="AI215"/>
  <c r="AU215"/>
  <c r="AV215" s="1"/>
  <c r="AW215"/>
  <c r="AX215" s="1"/>
  <c r="O216"/>
  <c r="S216"/>
  <c r="AE216"/>
  <c r="AI216"/>
  <c r="AU216"/>
  <c r="AV216" s="1"/>
  <c r="AW216"/>
  <c r="AX216" s="1"/>
  <c r="O217"/>
  <c r="S217"/>
  <c r="AE217"/>
  <c r="AI217"/>
  <c r="AU217"/>
  <c r="AV217" s="1"/>
  <c r="AW217"/>
  <c r="AX217" s="1"/>
  <c r="O218"/>
  <c r="S218"/>
  <c r="AE218"/>
  <c r="AI218"/>
  <c r="AU218"/>
  <c r="AV218" s="1"/>
  <c r="AW218"/>
  <c r="AX218" s="1"/>
  <c r="O219"/>
  <c r="S219"/>
  <c r="AE219"/>
  <c r="AI219"/>
  <c r="AU219"/>
  <c r="AV219" s="1"/>
  <c r="AW219"/>
  <c r="AX219" s="1"/>
  <c r="O220"/>
  <c r="S220"/>
  <c r="AE220"/>
  <c r="AI220"/>
  <c r="AU220"/>
  <c r="AV220" s="1"/>
  <c r="AW220"/>
  <c r="AX220" s="1"/>
  <c r="O221"/>
  <c r="S221"/>
  <c r="AE221"/>
  <c r="AI221"/>
  <c r="AU221"/>
  <c r="AV221" s="1"/>
  <c r="AW221"/>
  <c r="AX221" s="1"/>
  <c r="O222"/>
  <c r="S222"/>
  <c r="AE222"/>
  <c r="AI222"/>
  <c r="AU222"/>
  <c r="AV222" s="1"/>
  <c r="AW222"/>
  <c r="AX222" s="1"/>
  <c r="O223"/>
  <c r="S223"/>
  <c r="AE223"/>
  <c r="AI223"/>
  <c r="AU223"/>
  <c r="AV223" s="1"/>
  <c r="AW223"/>
  <c r="AX223" s="1"/>
  <c r="O224"/>
  <c r="S224"/>
  <c r="T224" s="1"/>
  <c r="V224"/>
  <c r="AE224"/>
  <c r="AF224" s="1"/>
  <c r="AH224"/>
  <c r="AI224"/>
  <c r="AJ224" s="1"/>
  <c r="AL224"/>
  <c r="AU224"/>
  <c r="AV224"/>
  <c r="AW224"/>
  <c r="AX224"/>
  <c r="O225"/>
  <c r="P225" s="1"/>
  <c r="R225"/>
  <c r="S225"/>
  <c r="T225" s="1"/>
  <c r="V225"/>
  <c r="AE225"/>
  <c r="AF225" s="1"/>
  <c r="AH225"/>
  <c r="AI225"/>
  <c r="AJ225" s="1"/>
  <c r="AL225"/>
  <c r="AU225"/>
  <c r="AV225"/>
  <c r="AW225"/>
  <c r="AX225"/>
  <c r="O226"/>
  <c r="P226" s="1"/>
  <c r="R226"/>
  <c r="S226"/>
  <c r="T226" s="1"/>
  <c r="V226"/>
  <c r="AE226"/>
  <c r="AF226" s="1"/>
  <c r="AH226"/>
  <c r="AI226"/>
  <c r="AJ226" s="1"/>
  <c r="AL226"/>
  <c r="AU226"/>
  <c r="AV226"/>
  <c r="AW226"/>
  <c r="AX226"/>
  <c r="O227"/>
  <c r="P227" s="1"/>
  <c r="R227"/>
  <c r="S227"/>
  <c r="T227" s="1"/>
  <c r="V227"/>
  <c r="AE227"/>
  <c r="AF227" s="1"/>
  <c r="AH227"/>
  <c r="AI227"/>
  <c r="AJ227" s="1"/>
  <c r="AL227"/>
  <c r="AU227"/>
  <c r="AV227"/>
  <c r="AW227"/>
  <c r="AX227"/>
  <c r="O228"/>
  <c r="P228" s="1"/>
  <c r="R228"/>
  <c r="S228"/>
  <c r="T228" s="1"/>
  <c r="V228"/>
  <c r="AE228"/>
  <c r="AF228" s="1"/>
  <c r="AH228"/>
  <c r="AI228"/>
  <c r="AJ228" s="1"/>
  <c r="AL228"/>
  <c r="AU228"/>
  <c r="AV228"/>
  <c r="AW228"/>
  <c r="AX228"/>
  <c r="O229"/>
  <c r="P229" s="1"/>
  <c r="R229"/>
  <c r="S229"/>
  <c r="T229" s="1"/>
  <c r="V229"/>
  <c r="AE229"/>
  <c r="AF229" s="1"/>
  <c r="AH229"/>
  <c r="AI229"/>
  <c r="AJ229" s="1"/>
  <c r="AL229"/>
  <c r="AU229"/>
  <c r="AV229"/>
  <c r="AW229"/>
  <c r="AX229"/>
  <c r="O230"/>
  <c r="P230" s="1"/>
  <c r="R230"/>
  <c r="S230"/>
  <c r="T230" s="1"/>
  <c r="V230"/>
  <c r="AE230"/>
  <c r="AF230" s="1"/>
  <c r="AH230"/>
  <c r="AI230"/>
  <c r="AJ230" s="1"/>
  <c r="AL230"/>
  <c r="AU230"/>
  <c r="AV230"/>
  <c r="AW230"/>
  <c r="AX230"/>
  <c r="O231"/>
  <c r="P231" s="1"/>
  <c r="R231"/>
  <c r="S231"/>
  <c r="T231" s="1"/>
  <c r="V231"/>
  <c r="AE231"/>
  <c r="AF231" s="1"/>
  <c r="AH231"/>
  <c r="AI231"/>
  <c r="AJ231" s="1"/>
  <c r="AL231"/>
  <c r="AU231"/>
  <c r="AV231"/>
  <c r="AW231"/>
  <c r="AX231"/>
  <c r="O232"/>
  <c r="P232" s="1"/>
  <c r="R232"/>
  <c r="S232"/>
  <c r="AE232"/>
  <c r="AI232"/>
  <c r="AU232"/>
  <c r="AV232" s="1"/>
  <c r="AW232"/>
  <c r="AX232" s="1"/>
  <c r="O233"/>
  <c r="S233"/>
  <c r="AE233"/>
  <c r="AI233"/>
  <c r="AU233"/>
  <c r="AV233" s="1"/>
  <c r="AW233"/>
  <c r="AX233" s="1"/>
  <c r="O234"/>
  <c r="S234"/>
  <c r="AE234"/>
  <c r="AI234"/>
  <c r="AU234"/>
  <c r="AV234" s="1"/>
  <c r="AW234"/>
  <c r="AX234" s="1"/>
  <c r="O236"/>
  <c r="S236"/>
  <c r="AE236"/>
  <c r="AI236"/>
  <c r="AU236"/>
  <c r="AV236" s="1"/>
  <c r="AW236"/>
  <c r="AX236" s="1"/>
  <c r="O237"/>
  <c r="S237"/>
  <c r="AE237"/>
  <c r="AI237"/>
  <c r="AU237"/>
  <c r="AV237" s="1"/>
  <c r="AW237"/>
  <c r="AX237" s="1"/>
  <c r="O235"/>
  <c r="S235"/>
  <c r="AE235"/>
  <c r="AI235"/>
  <c r="AU235"/>
  <c r="AV235" s="1"/>
  <c r="AW235"/>
  <c r="AX235" s="1"/>
  <c r="O238"/>
  <c r="S238"/>
  <c r="AE238"/>
  <c r="AI238"/>
  <c r="AU238"/>
  <c r="AV238" s="1"/>
  <c r="AW238"/>
  <c r="AX238" s="1"/>
  <c r="O239"/>
  <c r="S239"/>
  <c r="AE239"/>
  <c r="AI239"/>
  <c r="AU239"/>
  <c r="AV239" s="1"/>
  <c r="AW239"/>
  <c r="AX239" s="1"/>
  <c r="O240"/>
  <c r="S240"/>
  <c r="T240" s="1"/>
  <c r="V240"/>
  <c r="AE240"/>
  <c r="AF240" s="1"/>
  <c r="AH240"/>
  <c r="AI240"/>
  <c r="AJ240" s="1"/>
  <c r="AL240"/>
  <c r="AU240"/>
  <c r="AV240"/>
  <c r="AW240"/>
  <c r="AX240"/>
  <c r="O241"/>
  <c r="P241" s="1"/>
  <c r="R241"/>
  <c r="S241"/>
  <c r="T241" s="1"/>
  <c r="V241"/>
  <c r="AE241"/>
  <c r="AF241" s="1"/>
  <c r="AH241"/>
  <c r="AI241"/>
  <c r="AJ241" s="1"/>
  <c r="AL241"/>
  <c r="AU241"/>
  <c r="AV241"/>
  <c r="AW241"/>
  <c r="AX241"/>
  <c r="O242"/>
  <c r="P242" s="1"/>
  <c r="R242"/>
  <c r="S242"/>
  <c r="T242" s="1"/>
  <c r="V242"/>
  <c r="AE242"/>
  <c r="AF242" s="1"/>
  <c r="AH242"/>
  <c r="AI242"/>
  <c r="AJ242" s="1"/>
  <c r="AL242"/>
  <c r="AU242"/>
  <c r="AV242"/>
  <c r="AW242"/>
  <c r="AX242"/>
  <c r="O243"/>
  <c r="P243" s="1"/>
  <c r="R243"/>
  <c r="S243"/>
  <c r="T243" s="1"/>
  <c r="V243"/>
  <c r="AE243"/>
  <c r="AF243" s="1"/>
  <c r="AH243"/>
  <c r="AI243"/>
  <c r="AJ243" s="1"/>
  <c r="AL243"/>
  <c r="AU243"/>
  <c r="AV243"/>
  <c r="AW243"/>
  <c r="AX243"/>
  <c r="O244"/>
  <c r="P244" s="1"/>
  <c r="R244"/>
  <c r="S244"/>
  <c r="T244" s="1"/>
  <c r="V244"/>
  <c r="AE244"/>
  <c r="AF244" s="1"/>
  <c r="AH244"/>
  <c r="AI244"/>
  <c r="AJ244" s="1"/>
  <c r="AL244"/>
  <c r="AU244"/>
  <c r="AV244"/>
  <c r="AW244"/>
  <c r="AX244"/>
  <c r="O245"/>
  <c r="P245" s="1"/>
  <c r="R245"/>
  <c r="S245"/>
  <c r="T245" s="1"/>
  <c r="V245"/>
  <c r="AE245"/>
  <c r="AF245" s="1"/>
  <c r="AH245"/>
  <c r="AI245"/>
  <c r="AJ245" s="1"/>
  <c r="AL245"/>
  <c r="AU245"/>
  <c r="AV245"/>
  <c r="AW245"/>
  <c r="AX245"/>
  <c r="O246"/>
  <c r="P246" s="1"/>
  <c r="R246"/>
  <c r="S246"/>
  <c r="T246" s="1"/>
  <c r="V246"/>
  <c r="AE246"/>
  <c r="AF246" s="1"/>
  <c r="AH246"/>
  <c r="AI246"/>
  <c r="AJ246" s="1"/>
  <c r="AL246"/>
  <c r="AU246"/>
  <c r="AV246"/>
  <c r="AW246"/>
  <c r="AX246"/>
  <c r="O247"/>
  <c r="P247" s="1"/>
  <c r="R247"/>
  <c r="S247"/>
  <c r="T247" s="1"/>
  <c r="V247"/>
  <c r="AE247"/>
  <c r="AF247" s="1"/>
  <c r="AH247"/>
  <c r="AI247"/>
  <c r="AJ247" s="1"/>
  <c r="AL247"/>
  <c r="AU247"/>
  <c r="AV247"/>
  <c r="AW247"/>
  <c r="AX247"/>
  <c r="O248"/>
  <c r="P248" s="1"/>
  <c r="R248"/>
  <c r="S248"/>
  <c r="AE248"/>
  <c r="AI248"/>
  <c r="AU248"/>
  <c r="AV248" s="1"/>
  <c r="AW248"/>
  <c r="AX248" s="1"/>
  <c r="O249"/>
  <c r="S249"/>
  <c r="AE249"/>
  <c r="AI249"/>
  <c r="AU249"/>
  <c r="AV249" s="1"/>
  <c r="AW249"/>
  <c r="AX249" s="1"/>
  <c r="O250"/>
  <c r="S250"/>
  <c r="AE250"/>
  <c r="AI250"/>
  <c r="AU250"/>
  <c r="AV250" s="1"/>
  <c r="AW250"/>
  <c r="AX250" s="1"/>
  <c r="O251"/>
  <c r="S251"/>
  <c r="AE251"/>
  <c r="AI251"/>
  <c r="AU251"/>
  <c r="AV251" s="1"/>
  <c r="AW251"/>
  <c r="AX251" s="1"/>
  <c r="O252"/>
  <c r="S252"/>
  <c r="AE252"/>
  <c r="AI252"/>
  <c r="AU252"/>
  <c r="AV252" s="1"/>
  <c r="AW252"/>
  <c r="AX252" s="1"/>
  <c r="O253"/>
  <c r="S253"/>
  <c r="AE253"/>
  <c r="AI253"/>
  <c r="AU253"/>
  <c r="AV253" s="1"/>
  <c r="AW253"/>
  <c r="AX253" s="1"/>
  <c r="O254"/>
  <c r="S254"/>
  <c r="AE254"/>
  <c r="AI254"/>
  <c r="AU254"/>
  <c r="AV254" s="1"/>
  <c r="AW254"/>
  <c r="AX254" s="1"/>
  <c r="O255"/>
  <c r="S255"/>
  <c r="AE255"/>
  <c r="AI255"/>
  <c r="AU255"/>
  <c r="AV255" s="1"/>
  <c r="AW255"/>
  <c r="AX255" s="1"/>
  <c r="O256"/>
  <c r="S256"/>
  <c r="T256" s="1"/>
  <c r="V256"/>
  <c r="AE256"/>
  <c r="AF256" s="1"/>
  <c r="AH256"/>
  <c r="AI256"/>
  <c r="AJ256" s="1"/>
  <c r="AL256"/>
  <c r="AU256"/>
  <c r="AV256"/>
  <c r="AW256"/>
  <c r="AX256"/>
  <c r="O257"/>
  <c r="P257" s="1"/>
  <c r="R257"/>
  <c r="S257"/>
  <c r="T257" s="1"/>
  <c r="V257"/>
  <c r="AE257"/>
  <c r="AF257" s="1"/>
  <c r="AH257"/>
  <c r="AI257"/>
  <c r="AJ257" s="1"/>
  <c r="AL257"/>
  <c r="AU257"/>
  <c r="AV257"/>
  <c r="AW257"/>
  <c r="AX257"/>
  <c r="O258"/>
  <c r="P258" s="1"/>
  <c r="R258"/>
  <c r="S258"/>
  <c r="T258" s="1"/>
  <c r="V258"/>
  <c r="AE258"/>
  <c r="AF258" s="1"/>
  <c r="AH258"/>
  <c r="AI258"/>
  <c r="AJ258" s="1"/>
  <c r="AL258"/>
  <c r="AU258"/>
  <c r="AV258"/>
  <c r="AW258"/>
  <c r="AX258"/>
  <c r="O259"/>
  <c r="P259" s="1"/>
  <c r="R259"/>
  <c r="S259"/>
  <c r="T259" s="1"/>
  <c r="V259"/>
  <c r="AE259"/>
  <c r="AF259" s="1"/>
  <c r="AH259"/>
  <c r="AI259"/>
  <c r="AJ259" s="1"/>
  <c r="AL259"/>
  <c r="AU259"/>
  <c r="AV259"/>
  <c r="AW259"/>
  <c r="AX259"/>
  <c r="O260"/>
  <c r="P260" s="1"/>
  <c r="R260"/>
  <c r="S260"/>
  <c r="T260" s="1"/>
  <c r="V260"/>
  <c r="AE260"/>
  <c r="AF260" s="1"/>
  <c r="AH260"/>
  <c r="AI260"/>
  <c r="AJ260" s="1"/>
  <c r="AL260"/>
  <c r="AU260"/>
  <c r="AV260"/>
  <c r="AW260"/>
  <c r="AX260"/>
  <c r="O261"/>
  <c r="P261" s="1"/>
  <c r="R261"/>
  <c r="S261"/>
  <c r="T261" s="1"/>
  <c r="V261"/>
  <c r="AE261"/>
  <c r="AF261" s="1"/>
  <c r="AH261"/>
  <c r="AI261"/>
  <c r="AJ261" s="1"/>
  <c r="AL261"/>
  <c r="AU261"/>
  <c r="AV261"/>
  <c r="AW261"/>
  <c r="AX261"/>
  <c r="O262"/>
  <c r="P262" s="1"/>
  <c r="R262"/>
  <c r="S262"/>
  <c r="T262" s="1"/>
  <c r="V262"/>
  <c r="AE262"/>
  <c r="AF262" s="1"/>
  <c r="AH262"/>
  <c r="AI262"/>
  <c r="AJ262" s="1"/>
  <c r="AL262"/>
  <c r="AU262"/>
  <c r="AV262"/>
  <c r="AW262"/>
  <c r="AX262"/>
  <c r="O263"/>
  <c r="P263" s="1"/>
  <c r="R263"/>
  <c r="S263"/>
  <c r="T263" s="1"/>
  <c r="V263"/>
  <c r="AE263"/>
  <c r="AF263" s="1"/>
  <c r="AH263"/>
  <c r="AI263"/>
  <c r="AJ263" s="1"/>
  <c r="AL263"/>
  <c r="AU263"/>
  <c r="AV263"/>
  <c r="AW263"/>
  <c r="AX263"/>
  <c r="O264"/>
  <c r="P264" s="1"/>
  <c r="R264"/>
  <c r="S264"/>
  <c r="T264" s="1"/>
  <c r="V264"/>
  <c r="AE264"/>
  <c r="AF264" s="1"/>
  <c r="AH264"/>
  <c r="AI264"/>
  <c r="AJ264" s="1"/>
  <c r="AU264"/>
  <c r="AV264" s="1"/>
  <c r="AW264"/>
  <c r="AX264" s="1"/>
  <c r="O265"/>
  <c r="P265" s="1"/>
  <c r="S265"/>
  <c r="T265" s="1"/>
  <c r="AE265"/>
  <c r="AF265" s="1"/>
  <c r="AI265"/>
  <c r="AJ265" s="1"/>
  <c r="AU265"/>
  <c r="AV265" s="1"/>
  <c r="AW265"/>
  <c r="AX265" s="1"/>
  <c r="O266"/>
  <c r="P266" s="1"/>
  <c r="S266"/>
  <c r="T266" s="1"/>
  <c r="AE266"/>
  <c r="AF266" s="1"/>
  <c r="AI266"/>
  <c r="AJ266" s="1"/>
  <c r="AU266"/>
  <c r="AV266" s="1"/>
  <c r="AW266"/>
  <c r="AX266" s="1"/>
  <c r="O267"/>
  <c r="P267" s="1"/>
  <c r="S267"/>
  <c r="T267" s="1"/>
  <c r="AE267"/>
  <c r="AF267" s="1"/>
  <c r="AI267"/>
  <c r="AJ267" s="1"/>
  <c r="AU267"/>
  <c r="AV267" s="1"/>
  <c r="AW267"/>
  <c r="AX267" s="1"/>
  <c r="O268"/>
  <c r="P268" s="1"/>
  <c r="S268"/>
  <c r="T268" s="1"/>
  <c r="AE268"/>
  <c r="AF268" s="1"/>
  <c r="AI268"/>
  <c r="AJ268" s="1"/>
  <c r="AU268"/>
  <c r="AV268" s="1"/>
  <c r="AW268"/>
  <c r="AX268" s="1"/>
  <c r="O269"/>
  <c r="P269" s="1"/>
  <c r="S269"/>
  <c r="T269" s="1"/>
  <c r="AE269"/>
  <c r="AF269" s="1"/>
  <c r="AI269"/>
  <c r="AJ269" s="1"/>
  <c r="AU269"/>
  <c r="AV269" s="1"/>
  <c r="AW269"/>
  <c r="AX269" s="1"/>
  <c r="O270"/>
  <c r="P270" s="1"/>
  <c r="S270"/>
  <c r="T270" s="1"/>
  <c r="AE270"/>
  <c r="AF270" s="1"/>
  <c r="AI270"/>
  <c r="AJ270" s="1"/>
  <c r="AU270"/>
  <c r="AV270" s="1"/>
  <c r="AW270"/>
  <c r="AX270" s="1"/>
  <c r="O271"/>
  <c r="P271" s="1"/>
  <c r="S271"/>
  <c r="T271" s="1"/>
  <c r="AE271"/>
  <c r="AF271" s="1"/>
  <c r="AI271"/>
  <c r="AJ271" s="1"/>
  <c r="AU271"/>
  <c r="AV271" s="1"/>
  <c r="AW271"/>
  <c r="AX271" s="1"/>
  <c r="O272"/>
  <c r="P272" s="1"/>
  <c r="S272"/>
  <c r="T272" s="1"/>
  <c r="AE272"/>
  <c r="AF272" s="1"/>
  <c r="AI272"/>
  <c r="AJ272" s="1"/>
  <c r="AU272"/>
  <c r="AV272" s="1"/>
  <c r="AW272"/>
  <c r="AX272" s="1"/>
  <c r="O273"/>
  <c r="P273" s="1"/>
  <c r="S273"/>
  <c r="T273" s="1"/>
  <c r="AE273"/>
  <c r="AF273" s="1"/>
  <c r="AI273"/>
  <c r="AJ273" s="1"/>
  <c r="AU273"/>
  <c r="AV273" s="1"/>
  <c r="AW273"/>
  <c r="AX273" s="1"/>
  <c r="O274"/>
  <c r="P274" s="1"/>
  <c r="S274"/>
  <c r="T274" s="1"/>
  <c r="AE274"/>
  <c r="AF274" s="1"/>
  <c r="AI274"/>
  <c r="AJ274" s="1"/>
  <c r="AU274"/>
  <c r="AV274" s="1"/>
  <c r="AW274"/>
  <c r="AX274" s="1"/>
  <c r="O275"/>
  <c r="P275" s="1"/>
  <c r="S275"/>
  <c r="T275" s="1"/>
  <c r="AE275"/>
  <c r="AF275" s="1"/>
  <c r="AI275"/>
  <c r="AJ275" s="1"/>
  <c r="AU275"/>
  <c r="AV275" s="1"/>
  <c r="AW275"/>
  <c r="AX275" s="1"/>
  <c r="O276"/>
  <c r="R276" s="1"/>
  <c r="S276"/>
  <c r="V276" s="1"/>
  <c r="AE276"/>
  <c r="AF276" s="1"/>
  <c r="AI276"/>
  <c r="AJ276" s="1"/>
  <c r="AM276"/>
  <c r="AN276"/>
  <c r="AO276"/>
  <c r="AP276"/>
  <c r="AQ276"/>
  <c r="AR276"/>
  <c r="AS276"/>
  <c r="AT276"/>
  <c r="AU276"/>
  <c r="AV276" s="1"/>
  <c r="O277"/>
  <c r="R277" s="1"/>
  <c r="S277"/>
  <c r="V277" s="1"/>
  <c r="AE277"/>
  <c r="AF277" s="1"/>
  <c r="AI277"/>
  <c r="AJ277" s="1"/>
  <c r="AM277"/>
  <c r="AO277"/>
  <c r="AP277"/>
  <c r="AQ277"/>
  <c r="AR277"/>
  <c r="AS277"/>
  <c r="AT277"/>
  <c r="O278"/>
  <c r="R278" s="1"/>
  <c r="S278"/>
  <c r="V278" s="1"/>
  <c r="AE278"/>
  <c r="AI278"/>
  <c r="AU278"/>
  <c r="AV278" s="1"/>
  <c r="AW278"/>
  <c r="AX278" s="1"/>
  <c r="O279"/>
  <c r="R279" s="1"/>
  <c r="S279"/>
  <c r="V279" s="1"/>
  <c r="AE279"/>
  <c r="AI279"/>
  <c r="AQ279"/>
  <c r="AU279" s="1"/>
  <c r="AV279" s="1"/>
  <c r="AR279"/>
  <c r="AT279"/>
  <c r="G280"/>
  <c r="K280"/>
  <c r="S280"/>
  <c r="V280" s="1"/>
  <c r="AE280"/>
  <c r="AI280"/>
  <c r="AM280"/>
  <c r="AN280"/>
  <c r="AO280"/>
  <c r="AP280"/>
  <c r="AQ280"/>
  <c r="AR280"/>
  <c r="AS280"/>
  <c r="AT280"/>
  <c r="AU280"/>
  <c r="AV280" s="1"/>
  <c r="O281"/>
  <c r="R281" s="1"/>
  <c r="S281"/>
  <c r="V281" s="1"/>
  <c r="AE281"/>
  <c r="AI281"/>
  <c r="AS281"/>
  <c r="AU281" s="1"/>
  <c r="AV281" s="1"/>
  <c r="AW281"/>
  <c r="AX281" s="1"/>
  <c r="O282"/>
  <c r="R282" s="1"/>
  <c r="S282"/>
  <c r="V282" s="1"/>
  <c r="AE282"/>
  <c r="AI282"/>
  <c r="AT282"/>
  <c r="AW282" s="1"/>
  <c r="AX282" s="1"/>
  <c r="AU282"/>
  <c r="AV282" s="1"/>
  <c r="O283"/>
  <c r="R283" s="1"/>
  <c r="S283"/>
  <c r="V283" s="1"/>
  <c r="AE283"/>
  <c r="AI283"/>
  <c r="AU283"/>
  <c r="AV283" s="1"/>
  <c r="AW283"/>
  <c r="AX283" s="1"/>
  <c r="O284"/>
  <c r="R284" s="1"/>
  <c r="S284"/>
  <c r="V284" s="1"/>
  <c r="AE284"/>
  <c r="AI284"/>
  <c r="AU284"/>
  <c r="AV284" s="1"/>
  <c r="AW284"/>
  <c r="AX284" s="1"/>
  <c r="O285"/>
  <c r="R285" s="1"/>
  <c r="S285"/>
  <c r="V285" s="1"/>
  <c r="AE285"/>
  <c r="AI285"/>
  <c r="AM285"/>
  <c r="AO285"/>
  <c r="AQ285"/>
  <c r="AS285"/>
  <c r="AW285"/>
  <c r="AX285" s="1"/>
  <c r="O286"/>
  <c r="R286" s="1"/>
  <c r="S286"/>
  <c r="V286" s="1"/>
  <c r="AE286"/>
  <c r="AI286"/>
  <c r="AU286"/>
  <c r="AV286" s="1"/>
  <c r="AW286"/>
  <c r="AX286" s="1"/>
  <c r="O287"/>
  <c r="R287" s="1"/>
  <c r="S287"/>
  <c r="V287" s="1"/>
  <c r="AE287"/>
  <c r="AI287"/>
  <c r="AU287"/>
  <c r="AV287" s="1"/>
  <c r="AW287"/>
  <c r="AX287" s="1"/>
  <c r="O288"/>
  <c r="R288" s="1"/>
  <c r="S288"/>
  <c r="V288" s="1"/>
  <c r="AE288"/>
  <c r="AI288"/>
  <c r="AU288"/>
  <c r="AV288" s="1"/>
  <c r="AW288"/>
  <c r="AX288" s="1"/>
  <c r="O289"/>
  <c r="R289" s="1"/>
  <c r="S289"/>
  <c r="V289" s="1"/>
  <c r="AE289"/>
  <c r="AI289"/>
  <c r="AU289"/>
  <c r="AV289" s="1"/>
  <c r="AW289"/>
  <c r="AX289" s="1"/>
  <c r="O290"/>
  <c r="R290" s="1"/>
  <c r="S290"/>
  <c r="V290" s="1"/>
  <c r="AE290"/>
  <c r="AI290"/>
  <c r="AU290"/>
  <c r="AV290" s="1"/>
  <c r="AW290"/>
  <c r="AX290" s="1"/>
  <c r="O291"/>
  <c r="R291" s="1"/>
  <c r="S291"/>
  <c r="V291" s="1"/>
  <c r="AE291"/>
  <c r="AI291"/>
  <c r="AU291"/>
  <c r="AV291" s="1"/>
  <c r="AW291"/>
  <c r="AX291" s="1"/>
  <c r="O292"/>
  <c r="R292" s="1"/>
  <c r="S292"/>
  <c r="V292" s="1"/>
  <c r="AE292"/>
  <c r="AI292"/>
  <c r="AU292"/>
  <c r="AV292" s="1"/>
  <c r="AW292"/>
  <c r="AX292" s="1"/>
  <c r="O293"/>
  <c r="R293" s="1"/>
  <c r="S293"/>
  <c r="V293" s="1"/>
  <c r="AE293"/>
  <c r="AI293"/>
  <c r="AU293"/>
  <c r="AV293" s="1"/>
  <c r="AW293"/>
  <c r="AX293" s="1"/>
  <c r="O294"/>
  <c r="R294" s="1"/>
  <c r="S294"/>
  <c r="V294" s="1"/>
  <c r="AE294"/>
  <c r="AI294"/>
  <c r="AU294"/>
  <c r="AV294" s="1"/>
  <c r="AW294"/>
  <c r="AX294" s="1"/>
  <c r="O295"/>
  <c r="R295" s="1"/>
  <c r="S295"/>
  <c r="V295" s="1"/>
  <c r="AE295"/>
  <c r="AI295"/>
  <c r="AU295"/>
  <c r="AV295" s="1"/>
  <c r="AW295"/>
  <c r="AX295" s="1"/>
  <c r="O296"/>
  <c r="R296" s="1"/>
  <c r="S296"/>
  <c r="V296" s="1"/>
  <c r="AE296"/>
  <c r="AI296"/>
  <c r="AU296"/>
  <c r="AV296" s="1"/>
  <c r="AW296"/>
  <c r="AX296" s="1"/>
  <c r="O297"/>
  <c r="R297" s="1"/>
  <c r="S297"/>
  <c r="V297" s="1"/>
  <c r="AE297"/>
  <c r="AI297"/>
  <c r="AU297"/>
  <c r="AV297" s="1"/>
  <c r="AW297"/>
  <c r="AX297" s="1"/>
  <c r="O298"/>
  <c r="R298" s="1"/>
  <c r="S298"/>
  <c r="V298" s="1"/>
  <c r="AE298"/>
  <c r="AI298"/>
  <c r="AU298"/>
  <c r="AV298" s="1"/>
  <c r="AW298"/>
  <c r="AX298" s="1"/>
  <c r="O299"/>
  <c r="R299" s="1"/>
  <c r="S299"/>
  <c r="V299" s="1"/>
  <c r="AE299"/>
  <c r="AI299"/>
  <c r="AU299"/>
  <c r="AV299" s="1"/>
  <c r="AW299"/>
  <c r="AX299" s="1"/>
  <c r="O300"/>
  <c r="R300" s="1"/>
  <c r="S300"/>
  <c r="V300" s="1"/>
  <c r="AE300"/>
  <c r="AI300"/>
  <c r="AU300"/>
  <c r="AV300" s="1"/>
  <c r="AW300"/>
  <c r="AX300" s="1"/>
  <c r="O301"/>
  <c r="R301" s="1"/>
  <c r="S301"/>
  <c r="V301" s="1"/>
  <c r="AE301"/>
  <c r="AI301"/>
  <c r="AU301"/>
  <c r="AV301" s="1"/>
  <c r="AW301"/>
  <c r="AX301" s="1"/>
  <c r="O302"/>
  <c r="R302" s="1"/>
  <c r="S302"/>
  <c r="V302" s="1"/>
  <c r="AE302"/>
  <c r="AI302"/>
  <c r="AU302"/>
  <c r="AV302" s="1"/>
  <c r="AW302"/>
  <c r="AX302" s="1"/>
  <c r="O303"/>
  <c r="R303" s="1"/>
  <c r="S303"/>
  <c r="V303" s="1"/>
  <c r="AE303"/>
  <c r="AI303"/>
  <c r="AU303"/>
  <c r="AV303" s="1"/>
  <c r="AW303"/>
  <c r="AX303" s="1"/>
  <c r="O304"/>
  <c r="R304" s="1"/>
  <c r="S304"/>
  <c r="V304" s="1"/>
  <c r="AE304"/>
  <c r="AI304"/>
  <c r="AU304"/>
  <c r="AV304" s="1"/>
  <c r="AW304"/>
  <c r="AX304" s="1"/>
  <c r="O305"/>
  <c r="R305" s="1"/>
  <c r="S305"/>
  <c r="V305" s="1"/>
  <c r="AE305"/>
  <c r="AI305"/>
  <c r="AU305"/>
  <c r="AV305" s="1"/>
  <c r="AW305"/>
  <c r="AX305" s="1"/>
  <c r="O306"/>
  <c r="R306" s="1"/>
  <c r="S306"/>
  <c r="V306" s="1"/>
  <c r="AE306"/>
  <c r="AI306"/>
  <c r="AU306"/>
  <c r="AV306" s="1"/>
  <c r="AW306"/>
  <c r="AX306" s="1"/>
  <c r="O307"/>
  <c r="R307" s="1"/>
  <c r="S307"/>
  <c r="V307" s="1"/>
  <c r="AE307"/>
  <c r="AI307"/>
  <c r="AU307"/>
  <c r="AV307" s="1"/>
  <c r="AW307"/>
  <c r="AX307" s="1"/>
  <c r="O308"/>
  <c r="R308" s="1"/>
  <c r="S308"/>
  <c r="V308" s="1"/>
  <c r="AE308"/>
  <c r="AI308"/>
  <c r="AU308"/>
  <c r="AV308" s="1"/>
  <c r="AW308"/>
  <c r="AX308" s="1"/>
  <c r="O309"/>
  <c r="R309" s="1"/>
  <c r="S309"/>
  <c r="V309" s="1"/>
  <c r="AE309"/>
  <c r="AI309"/>
  <c r="AU309"/>
  <c r="AV309" s="1"/>
  <c r="AW309"/>
  <c r="AX309" s="1"/>
  <c r="O310"/>
  <c r="R310" s="1"/>
  <c r="S310"/>
  <c r="V310" s="1"/>
  <c r="AE310"/>
  <c r="AI310"/>
  <c r="AU310"/>
  <c r="AV310" s="1"/>
  <c r="AW310"/>
  <c r="AX310" s="1"/>
  <c r="O311"/>
  <c r="R311" s="1"/>
  <c r="S311"/>
  <c r="AE311"/>
  <c r="AI311"/>
  <c r="AU311"/>
  <c r="AV311" s="1"/>
  <c r="AW311"/>
  <c r="AX311" s="1"/>
  <c r="O312"/>
  <c r="R312" s="1"/>
  <c r="S312"/>
  <c r="AE312"/>
  <c r="AI312"/>
  <c r="AU312"/>
  <c r="AV312" s="1"/>
  <c r="AW312"/>
  <c r="AX312" s="1"/>
  <c r="O313"/>
  <c r="R313" s="1"/>
  <c r="S313"/>
  <c r="AE313"/>
  <c r="AI313"/>
  <c r="AU313"/>
  <c r="AV313" s="1"/>
  <c r="AW313"/>
  <c r="AX313" s="1"/>
  <c r="O314"/>
  <c r="R314" s="1"/>
  <c r="S314"/>
  <c r="AE314"/>
  <c r="AI314"/>
  <c r="AU314"/>
  <c r="AV314" s="1"/>
  <c r="AW314"/>
  <c r="AX314" s="1"/>
  <c r="O315"/>
  <c r="R315" s="1"/>
  <c r="S315"/>
  <c r="AE315"/>
  <c r="AI315"/>
  <c r="AU315"/>
  <c r="AV315" s="1"/>
  <c r="AW315"/>
  <c r="AX315" s="1"/>
  <c r="O316"/>
  <c r="R316" s="1"/>
  <c r="S316"/>
  <c r="AE316"/>
  <c r="AI316"/>
  <c r="AU316"/>
  <c r="AV316" s="1"/>
  <c r="AW316"/>
  <c r="AX316" s="1"/>
  <c r="O317"/>
  <c r="R317" s="1"/>
  <c r="S317"/>
  <c r="AE317"/>
  <c r="AI317"/>
  <c r="AU317"/>
  <c r="AV317" s="1"/>
  <c r="AW317"/>
  <c r="AX317" s="1"/>
  <c r="O318"/>
  <c r="R318" s="1"/>
  <c r="S318"/>
  <c r="AE318"/>
  <c r="AI318"/>
  <c r="AU318"/>
  <c r="AV318" s="1"/>
  <c r="AW318"/>
  <c r="AX318" s="1"/>
  <c r="O319"/>
  <c r="R319" s="1"/>
  <c r="S319"/>
  <c r="AE319"/>
  <c r="AI319"/>
  <c r="AU319"/>
  <c r="AV319" s="1"/>
  <c r="AW319"/>
  <c r="AX319" s="1"/>
  <c r="O320"/>
  <c r="R320" s="1"/>
  <c r="S320"/>
  <c r="AE320"/>
  <c r="AI320"/>
  <c r="AU320"/>
  <c r="AV320" s="1"/>
  <c r="AW320"/>
  <c r="AX320" s="1"/>
  <c r="O321"/>
  <c r="R321" s="1"/>
  <c r="S321"/>
  <c r="AE321"/>
  <c r="AI321"/>
  <c r="AU321"/>
  <c r="AV321" s="1"/>
  <c r="AW321"/>
  <c r="AX321" s="1"/>
  <c r="O322"/>
  <c r="R322" s="1"/>
  <c r="S322"/>
  <c r="AE322"/>
  <c r="AI322"/>
  <c r="AU322"/>
  <c r="AV322" s="1"/>
  <c r="AW322"/>
  <c r="AX322" s="1"/>
  <c r="O323"/>
  <c r="R323" s="1"/>
  <c r="S323"/>
  <c r="AE323"/>
  <c r="AI323"/>
  <c r="AU323"/>
  <c r="AV323" s="1"/>
  <c r="AW323"/>
  <c r="AX323" s="1"/>
  <c r="O324"/>
  <c r="R324" s="1"/>
  <c r="S324"/>
  <c r="AE324"/>
  <c r="AI324"/>
  <c r="AU324"/>
  <c r="AV324" s="1"/>
  <c r="AW324"/>
  <c r="AX324" s="1"/>
  <c r="O325"/>
  <c r="R325" s="1"/>
  <c r="S325"/>
  <c r="AE325"/>
  <c r="AI325"/>
  <c r="AU325"/>
  <c r="AV325" s="1"/>
  <c r="AW325"/>
  <c r="AX325" s="1"/>
  <c r="O326"/>
  <c r="S326"/>
  <c r="AE326"/>
  <c r="AI326"/>
  <c r="AU326"/>
  <c r="AV326" s="1"/>
  <c r="AW326"/>
  <c r="AX326" s="1"/>
  <c r="O327"/>
  <c r="S327"/>
  <c r="AE327"/>
  <c r="AI327"/>
  <c r="AU327"/>
  <c r="AV327" s="1"/>
  <c r="AW327"/>
  <c r="AX327" s="1"/>
  <c r="O328"/>
  <c r="S328"/>
  <c r="AE328"/>
  <c r="AI328"/>
  <c r="AU328"/>
  <c r="AV328" s="1"/>
  <c r="AW328"/>
  <c r="AX328" s="1"/>
  <c r="O329"/>
  <c r="S329"/>
  <c r="AE329"/>
  <c r="AI329"/>
  <c r="AU329"/>
  <c r="AV329" s="1"/>
  <c r="AW329"/>
  <c r="AX329" s="1"/>
  <c r="O330"/>
  <c r="S330"/>
  <c r="AE330"/>
  <c r="AI330"/>
  <c r="AU330"/>
  <c r="AV330" s="1"/>
  <c r="AW330"/>
  <c r="AX330" s="1"/>
  <c r="O331"/>
  <c r="S331"/>
  <c r="AE331"/>
  <c r="AI331"/>
  <c r="AU331"/>
  <c r="AV331" s="1"/>
  <c r="AW331"/>
  <c r="AX331" s="1"/>
  <c r="O332"/>
  <c r="S332"/>
  <c r="AE332"/>
  <c r="AI332"/>
  <c r="AU332"/>
  <c r="AV332" s="1"/>
  <c r="AW332"/>
  <c r="AX332" s="1"/>
  <c r="O333"/>
  <c r="S333"/>
  <c r="AE333"/>
  <c r="AI333"/>
  <c r="AU333"/>
  <c r="AV333" s="1"/>
  <c r="AW333"/>
  <c r="AX333" s="1"/>
  <c r="O334"/>
  <c r="S334"/>
  <c r="AE334"/>
  <c r="AI334"/>
  <c r="AU334"/>
  <c r="AV334" s="1"/>
  <c r="AW334"/>
  <c r="AX334" s="1"/>
  <c r="O335"/>
  <c r="S335"/>
  <c r="AE335"/>
  <c r="AI335"/>
  <c r="AU335"/>
  <c r="AV335" s="1"/>
  <c r="AW335"/>
  <c r="AX335" s="1"/>
  <c r="O336"/>
  <c r="S336"/>
  <c r="AE336"/>
  <c r="AI336"/>
  <c r="AU336"/>
  <c r="AV336" s="1"/>
  <c r="AW336"/>
  <c r="AX336" s="1"/>
  <c r="O337"/>
  <c r="S337"/>
  <c r="AE337"/>
  <c r="AI337"/>
  <c r="AU337"/>
  <c r="AV337" s="1"/>
  <c r="AW337"/>
  <c r="AX337" s="1"/>
  <c r="O338"/>
  <c r="S338"/>
  <c r="AE338"/>
  <c r="AI338"/>
  <c r="AU338"/>
  <c r="AV338" s="1"/>
  <c r="AW338"/>
  <c r="AX338" s="1"/>
  <c r="O339"/>
  <c r="S339"/>
  <c r="AE339"/>
  <c r="AI339"/>
  <c r="AU339"/>
  <c r="AV339" s="1"/>
  <c r="AW339"/>
  <c r="AX339" s="1"/>
  <c r="O340"/>
  <c r="S340"/>
  <c r="AE340"/>
  <c r="AI340"/>
  <c r="AU340"/>
  <c r="AV340" s="1"/>
  <c r="AW340"/>
  <c r="AX340" s="1"/>
  <c r="O341"/>
  <c r="S341"/>
  <c r="AE341"/>
  <c r="AI341"/>
  <c r="AU341"/>
  <c r="AV341" s="1"/>
  <c r="AW341"/>
  <c r="AX341" s="1"/>
  <c r="O342"/>
  <c r="S342"/>
  <c r="AE342"/>
  <c r="AI342"/>
  <c r="AU342"/>
  <c r="AV342" s="1"/>
  <c r="AW342"/>
  <c r="AX342" s="1"/>
  <c r="O343"/>
  <c r="S343"/>
  <c r="AE343"/>
  <c r="AI343"/>
  <c r="AU343"/>
  <c r="AV343" s="1"/>
  <c r="AW343"/>
  <c r="AX343" s="1"/>
  <c r="O344"/>
  <c r="S344"/>
  <c r="AE344"/>
  <c r="AI344"/>
  <c r="AU344"/>
  <c r="AV344" s="1"/>
  <c r="AW344"/>
  <c r="AX344" s="1"/>
  <c r="O345"/>
  <c r="S345"/>
  <c r="AE345"/>
  <c r="AI345"/>
  <c r="AU345"/>
  <c r="AV345" s="1"/>
  <c r="AW345"/>
  <c r="AX345" s="1"/>
  <c r="O346"/>
  <c r="S346"/>
  <c r="AE346"/>
  <c r="AI346"/>
  <c r="AU346"/>
  <c r="AV346" s="1"/>
  <c r="AW346"/>
  <c r="AX346" s="1"/>
  <c r="O347"/>
  <c r="S347"/>
  <c r="AE347"/>
  <c r="AI347"/>
  <c r="AU347"/>
  <c r="AV347" s="1"/>
  <c r="AW347"/>
  <c r="AX347" s="1"/>
  <c r="O348"/>
  <c r="S348"/>
  <c r="AE348"/>
  <c r="AI348"/>
  <c r="AU348"/>
  <c r="AV348" s="1"/>
  <c r="AW348"/>
  <c r="AX348" s="1"/>
  <c r="O349"/>
  <c r="S349"/>
  <c r="AE349"/>
  <c r="AI349"/>
  <c r="AU349"/>
  <c r="AV349" s="1"/>
  <c r="AW349"/>
  <c r="AX349" s="1"/>
  <c r="O350"/>
  <c r="S350"/>
  <c r="AE350"/>
  <c r="AI350"/>
  <c r="AU350"/>
  <c r="AV350" s="1"/>
  <c r="AW350"/>
  <c r="AX350" s="1"/>
  <c r="O351"/>
  <c r="S351"/>
  <c r="AE351"/>
  <c r="AI351"/>
  <c r="AU351"/>
  <c r="AV351" s="1"/>
  <c r="AW351"/>
  <c r="AX351" s="1"/>
  <c r="O352"/>
  <c r="S352"/>
  <c r="AE352"/>
  <c r="AI352"/>
  <c r="AU352"/>
  <c r="AV352" s="1"/>
  <c r="AW352"/>
  <c r="AX352" s="1"/>
  <c r="O353"/>
  <c r="S353"/>
  <c r="AE353"/>
  <c r="AI353"/>
  <c r="AU353"/>
  <c r="AV353" s="1"/>
  <c r="AW353"/>
  <c r="AX353" s="1"/>
  <c r="O354"/>
  <c r="S354"/>
  <c r="AE354"/>
  <c r="AI354"/>
  <c r="AU354"/>
  <c r="AV354" s="1"/>
  <c r="AW354"/>
  <c r="AX354" s="1"/>
  <c r="O355"/>
  <c r="S355"/>
  <c r="AE355"/>
  <c r="AI355"/>
  <c r="AU355"/>
  <c r="AV355" s="1"/>
  <c r="AW355"/>
  <c r="AX355" s="1"/>
  <c r="O356"/>
  <c r="S356"/>
  <c r="AE356"/>
  <c r="AI356"/>
  <c r="AU356"/>
  <c r="AV356" s="1"/>
  <c r="AW356"/>
  <c r="AX356" s="1"/>
  <c r="O357"/>
  <c r="S357"/>
  <c r="AE357"/>
  <c r="AI357"/>
  <c r="AU357"/>
  <c r="AV357" s="1"/>
  <c r="AW357"/>
  <c r="AX357" s="1"/>
  <c r="O358"/>
  <c r="S358"/>
  <c r="AE358"/>
  <c r="AI358"/>
  <c r="AU358"/>
  <c r="AV358" s="1"/>
  <c r="AW358"/>
  <c r="AX358" s="1"/>
  <c r="O359"/>
  <c r="S359"/>
  <c r="AE359"/>
  <c r="AI359"/>
  <c r="AU359"/>
  <c r="AV359" s="1"/>
  <c r="AW359"/>
  <c r="AX359" s="1"/>
  <c r="O360"/>
  <c r="S360"/>
  <c r="AE360"/>
  <c r="AI360"/>
  <c r="AU360"/>
  <c r="AV360" s="1"/>
  <c r="AW360"/>
  <c r="AX360" s="1"/>
  <c r="O361"/>
  <c r="S361"/>
  <c r="AE361"/>
  <c r="AI361"/>
  <c r="AU361"/>
  <c r="AV361" s="1"/>
  <c r="AW361"/>
  <c r="AX361" s="1"/>
  <c r="O362"/>
  <c r="S362"/>
  <c r="AE362"/>
  <c r="AI362"/>
  <c r="AU362"/>
  <c r="AV362" s="1"/>
  <c r="AW362"/>
  <c r="AX362" s="1"/>
  <c r="O363"/>
  <c r="S363"/>
  <c r="AE363"/>
  <c r="AI363"/>
  <c r="AU363"/>
  <c r="AV363" s="1"/>
  <c r="AW363"/>
  <c r="AX363" s="1"/>
  <c r="O364"/>
  <c r="S364"/>
  <c r="AE364"/>
  <c r="AI364"/>
  <c r="AU364"/>
  <c r="AV364" s="1"/>
  <c r="AW364"/>
  <c r="AX364" s="1"/>
  <c r="O365"/>
  <c r="S365"/>
  <c r="AE365"/>
  <c r="AI365"/>
  <c r="AU365"/>
  <c r="AV365" s="1"/>
  <c r="AW365"/>
  <c r="AX365" s="1"/>
  <c r="O366"/>
  <c r="S366"/>
  <c r="AE366"/>
  <c r="AI366"/>
  <c r="AU366"/>
  <c r="AV366" s="1"/>
  <c r="AW366"/>
  <c r="AX366" s="1"/>
  <c r="O367"/>
  <c r="S367"/>
  <c r="AE367"/>
  <c r="AI367"/>
  <c r="AU367"/>
  <c r="AV367" s="1"/>
  <c r="AW367"/>
  <c r="AX367" s="1"/>
  <c r="O368"/>
  <c r="S368"/>
  <c r="AE368"/>
  <c r="AI368"/>
  <c r="AU368"/>
  <c r="AV368" s="1"/>
  <c r="AW368"/>
  <c r="AX368" s="1"/>
  <c r="O369"/>
  <c r="S369"/>
  <c r="AE369"/>
  <c r="AI369"/>
  <c r="AU369"/>
  <c r="AV369" s="1"/>
  <c r="AW369"/>
  <c r="AX369" s="1"/>
  <c r="O370"/>
  <c r="S370"/>
  <c r="AE370"/>
  <c r="AI370"/>
  <c r="AU370"/>
  <c r="AV370" s="1"/>
  <c r="AW370"/>
  <c r="AX370" s="1"/>
  <c r="O371"/>
  <c r="S371"/>
  <c r="AE371"/>
  <c r="AI371"/>
  <c r="AU371"/>
  <c r="AV371" s="1"/>
  <c r="AW371"/>
  <c r="AX371" s="1"/>
  <c r="O372"/>
  <c r="S372"/>
  <c r="AE372"/>
  <c r="AI372"/>
  <c r="AU372"/>
  <c r="AV372" s="1"/>
  <c r="AW372"/>
  <c r="AX372" s="1"/>
  <c r="O373"/>
  <c r="S373"/>
  <c r="AE373"/>
  <c r="AI373"/>
  <c r="AU373"/>
  <c r="AV373" s="1"/>
  <c r="AW373"/>
  <c r="AX373" s="1"/>
  <c r="O374"/>
  <c r="S374"/>
  <c r="AE374"/>
  <c r="AI374"/>
  <c r="AU374"/>
  <c r="AV374" s="1"/>
  <c r="AW374"/>
  <c r="AX374" s="1"/>
  <c r="O375"/>
  <c r="S375"/>
  <c r="AE375"/>
  <c r="AI375"/>
  <c r="AU375"/>
  <c r="AV375" s="1"/>
  <c r="AW375"/>
  <c r="AX375" s="1"/>
  <c r="O376"/>
  <c r="S376"/>
  <c r="AE376"/>
  <c r="AI376"/>
  <c r="AU376"/>
  <c r="AV376" s="1"/>
  <c r="AW376"/>
  <c r="AX376" s="1"/>
  <c r="O377"/>
  <c r="S377"/>
  <c r="AE377"/>
  <c r="AI377"/>
  <c r="AU377"/>
  <c r="AV377" s="1"/>
  <c r="AW377"/>
  <c r="AX377" s="1"/>
  <c r="O378"/>
  <c r="S378"/>
  <c r="AE378"/>
  <c r="AI378"/>
  <c r="AU378"/>
  <c r="AV378" s="1"/>
  <c r="AW378"/>
  <c r="AX378" s="1"/>
  <c r="O379"/>
  <c r="S379"/>
  <c r="AE379"/>
  <c r="AI379"/>
  <c r="AU379"/>
  <c r="AV379" s="1"/>
  <c r="AW379"/>
  <c r="AX379" s="1"/>
  <c r="O380"/>
  <c r="S380"/>
  <c r="AE380"/>
  <c r="AI380"/>
  <c r="AU380"/>
  <c r="AV380" s="1"/>
  <c r="AW380"/>
  <c r="AX380" s="1"/>
  <c r="O381"/>
  <c r="S381"/>
  <c r="AE381"/>
  <c r="AI381"/>
  <c r="AU381"/>
  <c r="AV381" s="1"/>
  <c r="AW381"/>
  <c r="AX381" s="1"/>
  <c r="O382"/>
  <c r="S382"/>
  <c r="AE382"/>
  <c r="AI382"/>
  <c r="AU382"/>
  <c r="AV382" s="1"/>
  <c r="AW382"/>
  <c r="AX382" s="1"/>
  <c r="O383"/>
  <c r="S383"/>
  <c r="AE383"/>
  <c r="AI383"/>
  <c r="AU383"/>
  <c r="AV383" s="1"/>
  <c r="AW383"/>
  <c r="AX383" s="1"/>
  <c r="O384"/>
  <c r="S384"/>
  <c r="AE384"/>
  <c r="AI384"/>
  <c r="AU384"/>
  <c r="AV384" s="1"/>
  <c r="AW384"/>
  <c r="AX384" s="1"/>
  <c r="O385"/>
  <c r="S385"/>
  <c r="AE385"/>
  <c r="AI385"/>
  <c r="AU385"/>
  <c r="AV385" s="1"/>
  <c r="AW385"/>
  <c r="AX385" s="1"/>
  <c r="O386"/>
  <c r="S386"/>
  <c r="AE386"/>
  <c r="AI386"/>
  <c r="AU386"/>
  <c r="AV386" s="1"/>
  <c r="AW386"/>
  <c r="AX386" s="1"/>
  <c r="O387"/>
  <c r="S387"/>
  <c r="AE387"/>
  <c r="AI387"/>
  <c r="AU387"/>
  <c r="AV387" s="1"/>
  <c r="AW387"/>
  <c r="AX387" s="1"/>
  <c r="O388"/>
  <c r="S388"/>
  <c r="AE388"/>
  <c r="AI388"/>
  <c r="AU388"/>
  <c r="AV388" s="1"/>
  <c r="AW388"/>
  <c r="AX388" s="1"/>
  <c r="O389"/>
  <c r="S389"/>
  <c r="AE389"/>
  <c r="AI389"/>
  <c r="AU389"/>
  <c r="AV389" s="1"/>
  <c r="AW389"/>
  <c r="AX389" s="1"/>
  <c r="O390"/>
  <c r="S390"/>
  <c r="AE390"/>
  <c r="AI390"/>
  <c r="AU390"/>
  <c r="AV390" s="1"/>
  <c r="AW390"/>
  <c r="AX390" s="1"/>
  <c r="O391"/>
  <c r="S391"/>
  <c r="AE391"/>
  <c r="AI391"/>
  <c r="AU391"/>
  <c r="AV391" s="1"/>
  <c r="AW391"/>
  <c r="AX391" s="1"/>
  <c r="O392"/>
  <c r="S392"/>
  <c r="AE392"/>
  <c r="AI392"/>
  <c r="AU392"/>
  <c r="AV392" s="1"/>
  <c r="AW392"/>
  <c r="AX392" s="1"/>
  <c r="O393"/>
  <c r="S393"/>
  <c r="AE393"/>
  <c r="AI393"/>
  <c r="AU393"/>
  <c r="AV393" s="1"/>
  <c r="AW393"/>
  <c r="AX393" s="1"/>
  <c r="O394"/>
  <c r="S394"/>
  <c r="AE394"/>
  <c r="AI394"/>
  <c r="AU394"/>
  <c r="AV394" s="1"/>
  <c r="AW394"/>
  <c r="AX394" s="1"/>
  <c r="O395"/>
  <c r="S395"/>
  <c r="AE395"/>
  <c r="AI395"/>
  <c r="AU395"/>
  <c r="AV395" s="1"/>
  <c r="AW395"/>
  <c r="AX395" s="1"/>
  <c r="O396"/>
  <c r="S396"/>
  <c r="AE396"/>
  <c r="AI396"/>
  <c r="AU396"/>
  <c r="AV396" s="1"/>
  <c r="AW396"/>
  <c r="AX396" s="1"/>
  <c r="O397"/>
  <c r="S397"/>
  <c r="AE397"/>
  <c r="AI397"/>
  <c r="AU397"/>
  <c r="AV397" s="1"/>
  <c r="AW397"/>
  <c r="AX397" s="1"/>
  <c r="O398"/>
  <c r="S398"/>
  <c r="AE398"/>
  <c r="AI398"/>
  <c r="AU398"/>
  <c r="AV398" s="1"/>
  <c r="AW398"/>
  <c r="AX398" s="1"/>
  <c r="J399"/>
  <c r="L399"/>
  <c r="O399"/>
  <c r="AE399"/>
  <c r="AI399"/>
  <c r="AP399"/>
  <c r="AW399" s="1"/>
  <c r="AX399" s="1"/>
  <c r="AU399"/>
  <c r="AV399" s="1"/>
  <c r="J400"/>
  <c r="L400"/>
  <c r="O400"/>
  <c r="AE400"/>
  <c r="AI400"/>
  <c r="AP400"/>
  <c r="AR400"/>
  <c r="AW400" s="1"/>
  <c r="AX400" s="1"/>
  <c r="AU400"/>
  <c r="AV400" s="1"/>
  <c r="J401"/>
  <c r="L401"/>
  <c r="O401"/>
  <c r="AE401"/>
  <c r="AI401"/>
  <c r="AU401"/>
  <c r="AV401" s="1"/>
  <c r="AW401"/>
  <c r="AX401" s="1"/>
  <c r="J402"/>
  <c r="L402"/>
  <c r="S402" s="1"/>
  <c r="O402"/>
  <c r="AE402"/>
  <c r="AI402"/>
  <c r="AU402"/>
  <c r="AV402" s="1"/>
  <c r="AW402"/>
  <c r="AX402" s="1"/>
  <c r="J403"/>
  <c r="L403"/>
  <c r="O403"/>
  <c r="AE403"/>
  <c r="AI403"/>
  <c r="AU403"/>
  <c r="AV403" s="1"/>
  <c r="AW403"/>
  <c r="AX403" s="1"/>
  <c r="J404"/>
  <c r="L404"/>
  <c r="S404" s="1"/>
  <c r="O404"/>
  <c r="AE404"/>
  <c r="AI404"/>
  <c r="AU404"/>
  <c r="AV404" s="1"/>
  <c r="AW404"/>
  <c r="AX404" s="1"/>
  <c r="J405"/>
  <c r="S405" s="1"/>
  <c r="O405"/>
  <c r="AE405"/>
  <c r="AI405"/>
  <c r="AU405"/>
  <c r="AV405" s="1"/>
  <c r="AW405"/>
  <c r="AX405" s="1"/>
  <c r="J406"/>
  <c r="L406"/>
  <c r="N406"/>
  <c r="O406"/>
  <c r="AE406"/>
  <c r="AI406"/>
  <c r="AU406"/>
  <c r="AV406" s="1"/>
  <c r="AW406"/>
  <c r="AX406" s="1"/>
  <c r="J407"/>
  <c r="L407"/>
  <c r="S407" s="1"/>
  <c r="O407"/>
  <c r="AE407"/>
  <c r="AI407"/>
  <c r="AU407"/>
  <c r="AV407" s="1"/>
  <c r="AW407"/>
  <c r="AX407" s="1"/>
  <c r="J408"/>
  <c r="L408"/>
  <c r="N408"/>
  <c r="O408"/>
  <c r="Q408"/>
  <c r="R408"/>
  <c r="U408"/>
  <c r="AE408"/>
  <c r="AF408" s="1"/>
  <c r="AI408"/>
  <c r="AJ408" s="1"/>
  <c r="AU408"/>
  <c r="AV408" s="1"/>
  <c r="AW408"/>
  <c r="AX408" s="1"/>
  <c r="J409"/>
  <c r="L409"/>
  <c r="O409"/>
  <c r="AE409"/>
  <c r="AI409"/>
  <c r="AU409"/>
  <c r="AV409" s="1"/>
  <c r="AW409"/>
  <c r="AX409" s="1"/>
  <c r="J410"/>
  <c r="L410"/>
  <c r="O410"/>
  <c r="AE410"/>
  <c r="AI410"/>
  <c r="AU410"/>
  <c r="AV410" s="1"/>
  <c r="AW410"/>
  <c r="AX410" s="1"/>
  <c r="J411"/>
  <c r="L411"/>
  <c r="N411"/>
  <c r="O411"/>
  <c r="P411" s="1"/>
  <c r="R411"/>
  <c r="AE411"/>
  <c r="AF411" s="1"/>
  <c r="AH411"/>
  <c r="AI411"/>
  <c r="AJ411" s="1"/>
  <c r="AL411"/>
  <c r="AU411"/>
  <c r="AV411"/>
  <c r="AW411"/>
  <c r="AX411"/>
  <c r="J412"/>
  <c r="L412"/>
  <c r="O412"/>
  <c r="P412" s="1"/>
  <c r="R412"/>
  <c r="AE412"/>
  <c r="AF412" s="1"/>
  <c r="AH412"/>
  <c r="AI412"/>
  <c r="AJ412" s="1"/>
  <c r="AL412"/>
  <c r="AU412"/>
  <c r="AV412"/>
  <c r="AW412"/>
  <c r="AX412"/>
  <c r="O413"/>
  <c r="P413" s="1"/>
  <c r="R413"/>
  <c r="S413"/>
  <c r="T413" s="1"/>
  <c r="V413"/>
  <c r="AE413"/>
  <c r="AF413" s="1"/>
  <c r="AH413"/>
  <c r="AI413"/>
  <c r="AJ413" s="1"/>
  <c r="AL413"/>
  <c r="AU413"/>
  <c r="AV413"/>
  <c r="AW413"/>
  <c r="AX413"/>
  <c r="O414"/>
  <c r="P414" s="1"/>
  <c r="R414"/>
  <c r="S414"/>
  <c r="T414" s="1"/>
  <c r="V414"/>
  <c r="AE414"/>
  <c r="AF414" s="1"/>
  <c r="AH414"/>
  <c r="AI414"/>
  <c r="AJ414" s="1"/>
  <c r="AL414"/>
  <c r="AU414"/>
  <c r="AV414"/>
  <c r="AW414"/>
  <c r="AX414"/>
  <c r="O415"/>
  <c r="P415" s="1"/>
  <c r="R415"/>
  <c r="S415"/>
  <c r="T415" s="1"/>
  <c r="V415"/>
  <c r="AE415"/>
  <c r="AF415" s="1"/>
  <c r="AH415"/>
  <c r="AI415"/>
  <c r="AJ415" s="1"/>
  <c r="AL415"/>
  <c r="AU415"/>
  <c r="AV415"/>
  <c r="AW415"/>
  <c r="AX415"/>
  <c r="J416"/>
  <c r="L416"/>
  <c r="O416"/>
  <c r="P416" s="1"/>
  <c r="R416"/>
  <c r="AE416"/>
  <c r="AF416" s="1"/>
  <c r="AH416"/>
  <c r="AI416"/>
  <c r="AJ416" s="1"/>
  <c r="AL416"/>
  <c r="AU416"/>
  <c r="AV416"/>
  <c r="AW416"/>
  <c r="AX416"/>
  <c r="O417"/>
  <c r="P417" s="1"/>
  <c r="R417"/>
  <c r="S417"/>
  <c r="T417" s="1"/>
  <c r="V417"/>
  <c r="AE417"/>
  <c r="AF417" s="1"/>
  <c r="AH417"/>
  <c r="AI417"/>
  <c r="AJ417" s="1"/>
  <c r="AL417"/>
  <c r="AU417"/>
  <c r="AV417"/>
  <c r="AW417"/>
  <c r="AX417"/>
  <c r="O418"/>
  <c r="P418" s="1"/>
  <c r="R418"/>
  <c r="S418"/>
  <c r="T418" s="1"/>
  <c r="V418"/>
  <c r="AE418"/>
  <c r="AF418" s="1"/>
  <c r="AH418"/>
  <c r="AI418"/>
  <c r="AJ418" s="1"/>
  <c r="AL418"/>
  <c r="AU418"/>
  <c r="AV418"/>
  <c r="AW418"/>
  <c r="AX418"/>
  <c r="O419"/>
  <c r="P419" s="1"/>
  <c r="R419"/>
  <c r="S419"/>
  <c r="T419" s="1"/>
  <c r="V419"/>
  <c r="AE419"/>
  <c r="AF419" s="1"/>
  <c r="AH419"/>
  <c r="AI419"/>
  <c r="AJ419" s="1"/>
  <c r="AL419"/>
  <c r="AU419"/>
  <c r="AV419"/>
  <c r="AW419"/>
  <c r="AX419"/>
  <c r="O420"/>
  <c r="P420" s="1"/>
  <c r="R420"/>
  <c r="S420"/>
  <c r="T420" s="1"/>
  <c r="V420"/>
  <c r="AE420"/>
  <c r="AF420" s="1"/>
  <c r="AH420"/>
  <c r="AI420"/>
  <c r="AJ420" s="1"/>
  <c r="AL420"/>
  <c r="AU420"/>
  <c r="AV420"/>
  <c r="AW420"/>
  <c r="AX420"/>
  <c r="O421"/>
  <c r="P421" s="1"/>
  <c r="R421"/>
  <c r="S421"/>
  <c r="T421" s="1"/>
  <c r="V421"/>
  <c r="AE421"/>
  <c r="AF421" s="1"/>
  <c r="AH421"/>
  <c r="AI421"/>
  <c r="AJ421" s="1"/>
  <c r="AL421"/>
  <c r="AU421"/>
  <c r="AV421"/>
  <c r="AW421"/>
  <c r="AX421"/>
  <c r="O422"/>
  <c r="P422" s="1"/>
  <c r="R422"/>
  <c r="S422"/>
  <c r="T422" s="1"/>
  <c r="V422"/>
  <c r="AE422"/>
  <c r="AF422" s="1"/>
  <c r="AH422"/>
  <c r="AI422"/>
  <c r="AJ422" s="1"/>
  <c r="AL422"/>
  <c r="AU422"/>
  <c r="AV422"/>
  <c r="AW422"/>
  <c r="AX422"/>
  <c r="O423"/>
  <c r="P423" s="1"/>
  <c r="R423"/>
  <c r="S423"/>
  <c r="T423" s="1"/>
  <c r="V423"/>
  <c r="AE423"/>
  <c r="AF423" s="1"/>
  <c r="AH423"/>
  <c r="AI423"/>
  <c r="AJ423" s="1"/>
  <c r="AL423"/>
  <c r="AU423"/>
  <c r="AV423"/>
  <c r="AW423"/>
  <c r="AX423"/>
  <c r="O424"/>
  <c r="P424" s="1"/>
  <c r="R424"/>
  <c r="S424"/>
  <c r="T424" s="1"/>
  <c r="V424"/>
  <c r="AE424"/>
  <c r="AF424" s="1"/>
  <c r="AH424"/>
  <c r="AI424"/>
  <c r="AJ424" s="1"/>
  <c r="AL424"/>
  <c r="AU424"/>
  <c r="AV424"/>
  <c r="AW424"/>
  <c r="AX424"/>
  <c r="O425"/>
  <c r="P425" s="1"/>
  <c r="R425"/>
  <c r="S425"/>
  <c r="T425" s="1"/>
  <c r="V425"/>
  <c r="AE425"/>
  <c r="AF425" s="1"/>
  <c r="AH425"/>
  <c r="AI425"/>
  <c r="AJ425" s="1"/>
  <c r="AL425"/>
  <c r="AU425"/>
  <c r="AV425"/>
  <c r="AW425"/>
  <c r="AX425"/>
  <c r="O426"/>
  <c r="P426" s="1"/>
  <c r="R426"/>
  <c r="S426"/>
  <c r="T426" s="1"/>
  <c r="V426"/>
  <c r="AE426"/>
  <c r="AH426"/>
  <c r="AI426"/>
  <c r="AL426"/>
  <c r="AU426"/>
  <c r="AV426"/>
  <c r="AW426"/>
  <c r="AX426"/>
  <c r="O427"/>
  <c r="P427" s="1"/>
  <c r="R427"/>
  <c r="S427"/>
  <c r="T427" s="1"/>
  <c r="V427"/>
  <c r="AE427"/>
  <c r="AH427"/>
  <c r="AI427"/>
  <c r="AL427"/>
  <c r="AU427"/>
  <c r="AV427"/>
  <c r="AW427"/>
  <c r="AX427"/>
  <c r="O428"/>
  <c r="P428" s="1"/>
  <c r="R428"/>
  <c r="S428"/>
  <c r="T428" s="1"/>
  <c r="V428"/>
  <c r="AE428"/>
  <c r="AH428"/>
  <c r="AI428"/>
  <c r="AL428"/>
  <c r="AU428"/>
  <c r="AV428"/>
  <c r="AW428"/>
  <c r="AX428"/>
  <c r="O429"/>
  <c r="P429" s="1"/>
  <c r="R429"/>
  <c r="S429"/>
  <c r="T429" s="1"/>
  <c r="V429"/>
  <c r="AE429"/>
  <c r="AH429"/>
  <c r="AI429"/>
  <c r="AL429"/>
  <c r="AU429"/>
  <c r="AV429"/>
  <c r="AW429"/>
  <c r="AX429"/>
  <c r="O430"/>
  <c r="P430" s="1"/>
  <c r="R430"/>
  <c r="S430"/>
  <c r="T430" s="1"/>
  <c r="V430"/>
  <c r="AE430"/>
  <c r="AH430"/>
  <c r="AI430"/>
  <c r="AL430"/>
  <c r="AU430"/>
  <c r="AV430"/>
  <c r="AW430"/>
  <c r="AX430"/>
  <c r="O431"/>
  <c r="P431" s="1"/>
  <c r="R431"/>
  <c r="S431"/>
  <c r="T431" s="1"/>
  <c r="V431"/>
  <c r="AE431"/>
  <c r="AH431"/>
  <c r="AI431"/>
  <c r="AL431"/>
  <c r="AU431"/>
  <c r="AV431"/>
  <c r="AW431"/>
  <c r="AX431"/>
  <c r="O432"/>
  <c r="P432" s="1"/>
  <c r="R432"/>
  <c r="S432"/>
  <c r="T432" s="1"/>
  <c r="V432"/>
  <c r="AE432"/>
  <c r="AH432"/>
  <c r="AI432"/>
  <c r="AL432"/>
  <c r="AU432"/>
  <c r="AV432"/>
  <c r="AW432"/>
  <c r="AX432"/>
  <c r="O433"/>
  <c r="P433" s="1"/>
  <c r="R433"/>
  <c r="S433"/>
  <c r="T433" s="1"/>
  <c r="AE433"/>
  <c r="AH433" s="1"/>
  <c r="AI433"/>
  <c r="AL433" s="1"/>
  <c r="AU433"/>
  <c r="AV433" s="1"/>
  <c r="AW433"/>
  <c r="AX433" s="1"/>
  <c r="O434"/>
  <c r="P434" s="1"/>
  <c r="S434"/>
  <c r="T434" s="1"/>
  <c r="AE434"/>
  <c r="AH434" s="1"/>
  <c r="AI434"/>
  <c r="AL434" s="1"/>
  <c r="AU434"/>
  <c r="AV434" s="1"/>
  <c r="AW434"/>
  <c r="AX434" s="1"/>
  <c r="O435"/>
  <c r="P435" s="1"/>
  <c r="S435"/>
  <c r="T435" s="1"/>
  <c r="AE435"/>
  <c r="AH435" s="1"/>
  <c r="AI435"/>
  <c r="AL435" s="1"/>
  <c r="AU435"/>
  <c r="AV435" s="1"/>
  <c r="AW435"/>
  <c r="AX435" s="1"/>
  <c r="O436"/>
  <c r="P436" s="1"/>
  <c r="S436"/>
  <c r="T436" s="1"/>
  <c r="AE436"/>
  <c r="AH436" s="1"/>
  <c r="AI436"/>
  <c r="AL436" s="1"/>
  <c r="AU436"/>
  <c r="AV436" s="1"/>
  <c r="AW436"/>
  <c r="AX436" s="1"/>
  <c r="O437"/>
  <c r="P437" s="1"/>
  <c r="S437"/>
  <c r="T437" s="1"/>
  <c r="AE437"/>
  <c r="AH437" s="1"/>
  <c r="AI437"/>
  <c r="AL437" s="1"/>
  <c r="AU437"/>
  <c r="AV437" s="1"/>
  <c r="AW437"/>
  <c r="AX437" s="1"/>
  <c r="O438"/>
  <c r="S438"/>
  <c r="AE438"/>
  <c r="AH438" s="1"/>
  <c r="AI438"/>
  <c r="AL438" s="1"/>
  <c r="AU438"/>
  <c r="AV438" s="1"/>
  <c r="AW438"/>
  <c r="AX438" s="1"/>
  <c r="O439"/>
  <c r="S439"/>
  <c r="AE439"/>
  <c r="AH439" s="1"/>
  <c r="AI439"/>
  <c r="AL439" s="1"/>
  <c r="AU439"/>
  <c r="AV439" s="1"/>
  <c r="AW439"/>
  <c r="AX439" s="1"/>
  <c r="O440"/>
  <c r="S440"/>
  <c r="AE440"/>
  <c r="AH440" s="1"/>
  <c r="AI440"/>
  <c r="AL440" s="1"/>
  <c r="AU440"/>
  <c r="AV440" s="1"/>
  <c r="AW440"/>
  <c r="AX440" s="1"/>
  <c r="O441"/>
  <c r="S441"/>
  <c r="AE441"/>
  <c r="AH441" s="1"/>
  <c r="AI441"/>
  <c r="AL441" s="1"/>
  <c r="AU441"/>
  <c r="AV441" s="1"/>
  <c r="AW441"/>
  <c r="AX441" s="1"/>
  <c r="O442"/>
  <c r="S442"/>
  <c r="AE442"/>
  <c r="AH442" s="1"/>
  <c r="AI442"/>
  <c r="AL442" s="1"/>
  <c r="AU442"/>
  <c r="AV442" s="1"/>
  <c r="AW442"/>
  <c r="AX442" s="1"/>
  <c r="O443"/>
  <c r="S443"/>
  <c r="AE443"/>
  <c r="AH443" s="1"/>
  <c r="AI443"/>
  <c r="AL443" s="1"/>
  <c r="AU443"/>
  <c r="AV443" s="1"/>
  <c r="AW443"/>
  <c r="AX443" s="1"/>
  <c r="O444"/>
  <c r="S444"/>
  <c r="AE444"/>
  <c r="AH444" s="1"/>
  <c r="AI444"/>
  <c r="AL444" s="1"/>
  <c r="AU444"/>
  <c r="AV444" s="1"/>
  <c r="AW444"/>
  <c r="AX444" s="1"/>
  <c r="O445"/>
  <c r="S445"/>
  <c r="AE445"/>
  <c r="AH445" s="1"/>
  <c r="AI445"/>
  <c r="AL445" s="1"/>
  <c r="AU445"/>
  <c r="AV445" s="1"/>
  <c r="AW445"/>
  <c r="AX445" s="1"/>
  <c r="O446"/>
  <c r="S446"/>
  <c r="AE446"/>
  <c r="AH446" s="1"/>
  <c r="AI446"/>
  <c r="AL446" s="1"/>
  <c r="AU446"/>
  <c r="AV446" s="1"/>
  <c r="AW446"/>
  <c r="AX446" s="1"/>
  <c r="O447"/>
  <c r="S447"/>
  <c r="AE447"/>
  <c r="AH447" s="1"/>
  <c r="AI447"/>
  <c r="AL447" s="1"/>
  <c r="AU447"/>
  <c r="AV447" s="1"/>
  <c r="AW447"/>
  <c r="AX447" s="1"/>
  <c r="O448"/>
  <c r="S448"/>
  <c r="AE448"/>
  <c r="AH448" s="1"/>
  <c r="AI448"/>
  <c r="AL448" s="1"/>
  <c r="AU448"/>
  <c r="AV448" s="1"/>
  <c r="AW448"/>
  <c r="AX448" s="1"/>
  <c r="O449"/>
  <c r="S449"/>
  <c r="AE449"/>
  <c r="AH449" s="1"/>
  <c r="AI449"/>
  <c r="AL449" s="1"/>
  <c r="AU449"/>
  <c r="AV449" s="1"/>
  <c r="AW449"/>
  <c r="AX449" s="1"/>
  <c r="O450"/>
  <c r="S450"/>
  <c r="AE450"/>
  <c r="AH450" s="1"/>
  <c r="AI450"/>
  <c r="AL450" s="1"/>
  <c r="AU450"/>
  <c r="AV450" s="1"/>
  <c r="AW450"/>
  <c r="AX450" s="1"/>
  <c r="O451"/>
  <c r="S451"/>
  <c r="AE451"/>
  <c r="AH451" s="1"/>
  <c r="AI451"/>
  <c r="AL451" s="1"/>
  <c r="AU451"/>
  <c r="AV451" s="1"/>
  <c r="AW451"/>
  <c r="AX451" s="1"/>
  <c r="O452"/>
  <c r="S452"/>
  <c r="AE452"/>
  <c r="AH452" s="1"/>
  <c r="AI452"/>
  <c r="AL452" s="1"/>
  <c r="AU452"/>
  <c r="AV452" s="1"/>
  <c r="AW452"/>
  <c r="AX452" s="1"/>
  <c r="O453"/>
  <c r="S453"/>
  <c r="AE453"/>
  <c r="AH453" s="1"/>
  <c r="AI453"/>
  <c r="AL453" s="1"/>
  <c r="AU453"/>
  <c r="AV453" s="1"/>
  <c r="AW453"/>
  <c r="AX453" s="1"/>
  <c r="O454"/>
  <c r="S454"/>
  <c r="AE454"/>
  <c r="AH454" s="1"/>
  <c r="AI454"/>
  <c r="AL454" s="1"/>
  <c r="AU454"/>
  <c r="AV454" s="1"/>
  <c r="AW454"/>
  <c r="AX454" s="1"/>
  <c r="O455"/>
  <c r="S455"/>
  <c r="AE455"/>
  <c r="AH455" s="1"/>
  <c r="AI455"/>
  <c r="AL455" s="1"/>
  <c r="AU455"/>
  <c r="AV455" s="1"/>
  <c r="AW455"/>
  <c r="AX455" s="1"/>
  <c r="O456"/>
  <c r="S456"/>
  <c r="AE456"/>
  <c r="AH456" s="1"/>
  <c r="AI456"/>
  <c r="AL456" s="1"/>
  <c r="AU456"/>
  <c r="AV456" s="1"/>
  <c r="AW456"/>
  <c r="AX456" s="1"/>
  <c r="O457"/>
  <c r="S457"/>
  <c r="AE457"/>
  <c r="AH457" s="1"/>
  <c r="AI457"/>
  <c r="AL457" s="1"/>
  <c r="AU457"/>
  <c r="AV457" s="1"/>
  <c r="AW457"/>
  <c r="AX457" s="1"/>
  <c r="O458"/>
  <c r="S458"/>
  <c r="AE458"/>
  <c r="AH458" s="1"/>
  <c r="AI458"/>
  <c r="AL458" s="1"/>
  <c r="AU458"/>
  <c r="AV458" s="1"/>
  <c r="AW458"/>
  <c r="AX458" s="1"/>
  <c r="O459"/>
  <c r="S459"/>
  <c r="AE459"/>
  <c r="AH459" s="1"/>
  <c r="AI459"/>
  <c r="AL459" s="1"/>
  <c r="AU459"/>
  <c r="AV459" s="1"/>
  <c r="AW459"/>
  <c r="AX459" s="1"/>
  <c r="O460"/>
  <c r="S460"/>
  <c r="AE460"/>
  <c r="AH460" s="1"/>
  <c r="AI460"/>
  <c r="AL460" s="1"/>
  <c r="AU460"/>
  <c r="AV460" s="1"/>
  <c r="AW460"/>
  <c r="AX460" s="1"/>
  <c r="O461"/>
  <c r="S461"/>
  <c r="AE461"/>
  <c r="AH461" s="1"/>
  <c r="AI461"/>
  <c r="AL461" s="1"/>
  <c r="AU461"/>
  <c r="AV461" s="1"/>
  <c r="AW461"/>
  <c r="AX461" s="1"/>
  <c r="O462"/>
  <c r="S462"/>
  <c r="AE462"/>
  <c r="AH462" s="1"/>
  <c r="AI462"/>
  <c r="AL462" s="1"/>
  <c r="AU462"/>
  <c r="AV462" s="1"/>
  <c r="AW462"/>
  <c r="AX462" s="1"/>
  <c r="O463"/>
  <c r="S463"/>
  <c r="AE463"/>
  <c r="AH463" s="1"/>
  <c r="AI463"/>
  <c r="AL463" s="1"/>
  <c r="AU463"/>
  <c r="AV463" s="1"/>
  <c r="AW463"/>
  <c r="AX463" s="1"/>
  <c r="O464"/>
  <c r="S464"/>
  <c r="AE464"/>
  <c r="AH464" s="1"/>
  <c r="AI464"/>
  <c r="AL464" s="1"/>
  <c r="AU464"/>
  <c r="AV464" s="1"/>
  <c r="AW464"/>
  <c r="AX464" s="1"/>
  <c r="O465"/>
  <c r="S465"/>
  <c r="AE465"/>
  <c r="AH465" s="1"/>
  <c r="AI465"/>
  <c r="AL465" s="1"/>
  <c r="AU465"/>
  <c r="AV465" s="1"/>
  <c r="AW465"/>
  <c r="AX465" s="1"/>
  <c r="O466"/>
  <c r="S466"/>
  <c r="AE466"/>
  <c r="AH466" s="1"/>
  <c r="AI466"/>
  <c r="AL466" s="1"/>
  <c r="AU466"/>
  <c r="AV466" s="1"/>
  <c r="AW466"/>
  <c r="AX466" s="1"/>
  <c r="O467"/>
  <c r="S467"/>
  <c r="AE467"/>
  <c r="AH467" s="1"/>
  <c r="AI467"/>
  <c r="AL467" s="1"/>
  <c r="AU467"/>
  <c r="AV467" s="1"/>
  <c r="AW467"/>
  <c r="AX467" s="1"/>
  <c r="O468"/>
  <c r="S468"/>
  <c r="AE468"/>
  <c r="AH468" s="1"/>
  <c r="AI468"/>
  <c r="AL468" s="1"/>
  <c r="AU468"/>
  <c r="AV468" s="1"/>
  <c r="AW468"/>
  <c r="AX468" s="1"/>
  <c r="O469"/>
  <c r="S469"/>
  <c r="AE469"/>
  <c r="AH469" s="1"/>
  <c r="AI469"/>
  <c r="AL469" s="1"/>
  <c r="AU469"/>
  <c r="AV469" s="1"/>
  <c r="AW469"/>
  <c r="AX469" s="1"/>
  <c r="O470"/>
  <c r="S470"/>
  <c r="AE470"/>
  <c r="AH470" s="1"/>
  <c r="AI470"/>
  <c r="AL470" s="1"/>
  <c r="AU470"/>
  <c r="AV470" s="1"/>
  <c r="AW470"/>
  <c r="AX470" s="1"/>
  <c r="O471"/>
  <c r="S471"/>
  <c r="AE471"/>
  <c r="AH471" s="1"/>
  <c r="AI471"/>
  <c r="AL471" s="1"/>
  <c r="AU471"/>
  <c r="AV471" s="1"/>
  <c r="AW471"/>
  <c r="AX471" s="1"/>
  <c r="O472"/>
  <c r="S472"/>
  <c r="AE472"/>
  <c r="AI472"/>
  <c r="AU472"/>
  <c r="AV472" s="1"/>
  <c r="AW472"/>
  <c r="AX472" s="1"/>
  <c r="O473"/>
  <c r="S473"/>
  <c r="AE473"/>
  <c r="AI473"/>
  <c r="AU473"/>
  <c r="AV473" s="1"/>
  <c r="AW473"/>
  <c r="AX473" s="1"/>
  <c r="O474"/>
  <c r="S474"/>
  <c r="AE474"/>
  <c r="AI474"/>
  <c r="AU474"/>
  <c r="AV474" s="1"/>
  <c r="AW474"/>
  <c r="AX474" s="1"/>
  <c r="O475"/>
  <c r="S475"/>
  <c r="AE475"/>
  <c r="AI475"/>
  <c r="AU475"/>
  <c r="AV475" s="1"/>
  <c r="AW475"/>
  <c r="AX475" s="1"/>
  <c r="O476"/>
  <c r="S476"/>
  <c r="AE476"/>
  <c r="AI476"/>
  <c r="AU476"/>
  <c r="AV476" s="1"/>
  <c r="AW476"/>
  <c r="AX476" s="1"/>
  <c r="O477"/>
  <c r="S477"/>
  <c r="AE477"/>
  <c r="AI477"/>
  <c r="AU477"/>
  <c r="AV477" s="1"/>
  <c r="AW477"/>
  <c r="AX477" s="1"/>
  <c r="O478"/>
  <c r="S478"/>
  <c r="AE478"/>
  <c r="AI478"/>
  <c r="AU478"/>
  <c r="AV478" s="1"/>
  <c r="AW478"/>
  <c r="AX478" s="1"/>
  <c r="O479"/>
  <c r="S479"/>
  <c r="AE479"/>
  <c r="AI479"/>
  <c r="AU479"/>
  <c r="AV479" s="1"/>
  <c r="AW479"/>
  <c r="AX479" s="1"/>
  <c r="O480"/>
  <c r="S480"/>
  <c r="AE480"/>
  <c r="AI480"/>
  <c r="AU480"/>
  <c r="AV480" s="1"/>
  <c r="AW480"/>
  <c r="AX480" s="1"/>
  <c r="O481"/>
  <c r="S481"/>
  <c r="AE481"/>
  <c r="AI481"/>
  <c r="AU481"/>
  <c r="AV481" s="1"/>
  <c r="AW481"/>
  <c r="AX481" s="1"/>
  <c r="O482"/>
  <c r="S482"/>
  <c r="AE482"/>
  <c r="AI482"/>
  <c r="AU482"/>
  <c r="AV482" s="1"/>
  <c r="AW482"/>
  <c r="AX482" s="1"/>
  <c r="O483"/>
  <c r="S483"/>
  <c r="AE483"/>
  <c r="AI483"/>
  <c r="AU483"/>
  <c r="AV483" s="1"/>
  <c r="AW483"/>
  <c r="AX483" s="1"/>
  <c r="O484"/>
  <c r="S484"/>
  <c r="AE484"/>
  <c r="AI484"/>
  <c r="AU484"/>
  <c r="AV484" s="1"/>
  <c r="AW484"/>
  <c r="AX484" s="1"/>
  <c r="O485"/>
  <c r="S485"/>
  <c r="AE485"/>
  <c r="AI485"/>
  <c r="AU485"/>
  <c r="AV485" s="1"/>
  <c r="AW485"/>
  <c r="AX485" s="1"/>
  <c r="O486"/>
  <c r="S486"/>
  <c r="AE486"/>
  <c r="AI486"/>
  <c r="AU486"/>
  <c r="AV486" s="1"/>
  <c r="AW486"/>
  <c r="AX486" s="1"/>
  <c r="O487"/>
  <c r="S487"/>
  <c r="AE487"/>
  <c r="AI487"/>
  <c r="AU487"/>
  <c r="AV487" s="1"/>
  <c r="AW487"/>
  <c r="AX487" s="1"/>
  <c r="O488"/>
  <c r="S488"/>
  <c r="AE488"/>
  <c r="AI488"/>
  <c r="AU488"/>
  <c r="AV488" s="1"/>
  <c r="AW488"/>
  <c r="AX488" s="1"/>
  <c r="O489"/>
  <c r="S489"/>
  <c r="AE489"/>
  <c r="AI489"/>
  <c r="AU489"/>
  <c r="AV489" s="1"/>
  <c r="AW489"/>
  <c r="AX489" s="1"/>
  <c r="O490"/>
  <c r="S490"/>
  <c r="AE490"/>
  <c r="AI490"/>
  <c r="AU490"/>
  <c r="AV490" s="1"/>
  <c r="AW490"/>
  <c r="AX490" s="1"/>
  <c r="O491"/>
  <c r="S491"/>
  <c r="AE491"/>
  <c r="AI491"/>
  <c r="AU491"/>
  <c r="AV491" s="1"/>
  <c r="AW491"/>
  <c r="AX491" s="1"/>
  <c r="O492"/>
  <c r="S492"/>
  <c r="AE492"/>
  <c r="AI492"/>
  <c r="AU492"/>
  <c r="AV492" s="1"/>
  <c r="AW492"/>
  <c r="AX492" s="1"/>
  <c r="O493"/>
  <c r="S493"/>
  <c r="AE493"/>
  <c r="AI493"/>
  <c r="AU493"/>
  <c r="AV493" s="1"/>
  <c r="AW493"/>
  <c r="AX493" s="1"/>
  <c r="O494"/>
  <c r="S494"/>
  <c r="AE494"/>
  <c r="AI494"/>
  <c r="AU494"/>
  <c r="AV494" s="1"/>
  <c r="AW494"/>
  <c r="AX494" s="1"/>
  <c r="O495"/>
  <c r="S495"/>
  <c r="AE495"/>
  <c r="AI495"/>
  <c r="AU495"/>
  <c r="AV495" s="1"/>
  <c r="AW495"/>
  <c r="AX495" s="1"/>
  <c r="O496"/>
  <c r="S496"/>
  <c r="AE496"/>
  <c r="AI496"/>
  <c r="AU496"/>
  <c r="AV496" s="1"/>
  <c r="AW496"/>
  <c r="AX496" s="1"/>
  <c r="O497"/>
  <c r="S497"/>
  <c r="AE497"/>
  <c r="AI497"/>
  <c r="AU497"/>
  <c r="AV497" s="1"/>
  <c r="AW497"/>
  <c r="AX497" s="1"/>
  <c r="O498"/>
  <c r="S498"/>
  <c r="AE498"/>
  <c r="AI498"/>
  <c r="AU498"/>
  <c r="AV498" s="1"/>
  <c r="AW498"/>
  <c r="AX498" s="1"/>
  <c r="O499"/>
  <c r="S499"/>
  <c r="AE499"/>
  <c r="AI499"/>
  <c r="AU499"/>
  <c r="AV499" s="1"/>
  <c r="AW499"/>
  <c r="AX499" s="1"/>
  <c r="O500"/>
  <c r="S500"/>
  <c r="AE500"/>
  <c r="AI500"/>
  <c r="AU500"/>
  <c r="AV500" s="1"/>
  <c r="AW500"/>
  <c r="AX500" s="1"/>
  <c r="O501"/>
  <c r="S501"/>
  <c r="AE501"/>
  <c r="AI501"/>
  <c r="AU501"/>
  <c r="AV501" s="1"/>
  <c r="AW501"/>
  <c r="AX501" s="1"/>
  <c r="O502"/>
  <c r="S502"/>
  <c r="AE502"/>
  <c r="AI502"/>
  <c r="AU502"/>
  <c r="AV502" s="1"/>
  <c r="AW502"/>
  <c r="AX502" s="1"/>
  <c r="O503"/>
  <c r="S503"/>
  <c r="AE503"/>
  <c r="AI503"/>
  <c r="AU503"/>
  <c r="AV503" s="1"/>
  <c r="AW503"/>
  <c r="AX503" s="1"/>
  <c r="J504"/>
  <c r="N504"/>
  <c r="O504"/>
  <c r="AE504"/>
  <c r="AI504"/>
  <c r="AU504"/>
  <c r="AV504" s="1"/>
  <c r="AW504"/>
  <c r="AX504" s="1"/>
  <c r="O505"/>
  <c r="S505"/>
  <c r="AE505"/>
  <c r="AI505"/>
  <c r="AU505"/>
  <c r="AV505" s="1"/>
  <c r="AW505"/>
  <c r="AX505" s="1"/>
  <c r="O506"/>
  <c r="S506"/>
  <c r="AE506"/>
  <c r="AI506"/>
  <c r="AU506"/>
  <c r="AV506" s="1"/>
  <c r="AW506"/>
  <c r="AX506" s="1"/>
  <c r="O507"/>
  <c r="S507"/>
  <c r="AE507"/>
  <c r="AI507"/>
  <c r="AU507"/>
  <c r="AV507" s="1"/>
  <c r="AW507"/>
  <c r="AX507" s="1"/>
  <c r="O508"/>
  <c r="S508"/>
  <c r="AE508"/>
  <c r="AI508"/>
  <c r="AU508"/>
  <c r="AV508" s="1"/>
  <c r="AW508"/>
  <c r="AX508" s="1"/>
  <c r="O509"/>
  <c r="S509"/>
  <c r="AE509"/>
  <c r="AI509"/>
  <c r="AU509"/>
  <c r="AV509" s="1"/>
  <c r="AW509"/>
  <c r="AX509" s="1"/>
  <c r="O510"/>
  <c r="S510"/>
  <c r="AE510"/>
  <c r="AI510"/>
  <c r="AU510"/>
  <c r="AV510" s="1"/>
  <c r="AW510"/>
  <c r="AX510" s="1"/>
  <c r="O511"/>
  <c r="S511"/>
  <c r="AE511"/>
  <c r="AI511"/>
  <c r="AU511"/>
  <c r="AV511" s="1"/>
  <c r="AW511"/>
  <c r="AX511" s="1"/>
  <c r="O512"/>
  <c r="S512"/>
  <c r="AE512"/>
  <c r="AI512"/>
  <c r="AU512"/>
  <c r="AV512" s="1"/>
  <c r="AW512"/>
  <c r="AX512" s="1"/>
  <c r="O513"/>
  <c r="S513"/>
  <c r="AE513"/>
  <c r="AI513"/>
  <c r="AU513"/>
  <c r="AV513" s="1"/>
  <c r="AW513"/>
  <c r="AX513" s="1"/>
  <c r="O514"/>
  <c r="S514"/>
  <c r="AE514"/>
  <c r="AI514"/>
  <c r="AU514"/>
  <c r="AV514" s="1"/>
  <c r="AW514"/>
  <c r="AX514" s="1"/>
  <c r="O515"/>
  <c r="S515"/>
  <c r="AE515"/>
  <c r="AI515"/>
  <c r="AU515"/>
  <c r="AV515" s="1"/>
  <c r="AW515"/>
  <c r="AX515" s="1"/>
  <c r="O516"/>
  <c r="S516"/>
  <c r="AE516"/>
  <c r="AI516"/>
  <c r="AU516"/>
  <c r="AV516" s="1"/>
  <c r="AW516"/>
  <c r="AX516" s="1"/>
  <c r="O517"/>
  <c r="S517"/>
  <c r="AE517"/>
  <c r="AI517"/>
  <c r="AU517"/>
  <c r="AV517" s="1"/>
  <c r="AW517"/>
  <c r="AX517" s="1"/>
  <c r="O518"/>
  <c r="S518"/>
  <c r="AE518"/>
  <c r="AI518"/>
  <c r="AU518"/>
  <c r="AV518" s="1"/>
  <c r="AW518"/>
  <c r="AX518" s="1"/>
  <c r="O519"/>
  <c r="S519"/>
  <c r="AE519"/>
  <c r="AI519"/>
  <c r="AU519"/>
  <c r="AV519" s="1"/>
  <c r="AW519"/>
  <c r="AX519" s="1"/>
  <c r="O520"/>
  <c r="S520"/>
  <c r="AE520"/>
  <c r="AI520"/>
  <c r="AU520"/>
  <c r="AV520" s="1"/>
  <c r="AW520"/>
  <c r="AX520" s="1"/>
  <c r="O521"/>
  <c r="S521"/>
  <c r="AE521"/>
  <c r="AI521"/>
  <c r="AU521"/>
  <c r="AV521" s="1"/>
  <c r="AW521"/>
  <c r="AX521" s="1"/>
  <c r="O522"/>
  <c r="S522"/>
  <c r="AE522"/>
  <c r="AI522"/>
  <c r="AU522"/>
  <c r="AV522" s="1"/>
  <c r="AW522"/>
  <c r="AX522" s="1"/>
  <c r="O523"/>
  <c r="S523"/>
  <c r="AE523"/>
  <c r="AI523"/>
  <c r="AU523"/>
  <c r="AV523" s="1"/>
  <c r="AW523"/>
  <c r="AX523" s="1"/>
  <c r="O524"/>
  <c r="S524"/>
  <c r="AE524"/>
  <c r="AI524"/>
  <c r="AU524"/>
  <c r="AV524" s="1"/>
  <c r="AW524"/>
  <c r="AX524" s="1"/>
  <c r="O525"/>
  <c r="S525"/>
  <c r="AE525"/>
  <c r="AI525"/>
  <c r="AU525"/>
  <c r="AV525" s="1"/>
  <c r="AW525"/>
  <c r="AX525" s="1"/>
  <c r="O526"/>
  <c r="S526"/>
  <c r="AE526"/>
  <c r="AH526" s="1"/>
  <c r="AI526"/>
  <c r="AL526" s="1"/>
  <c r="AU526"/>
  <c r="AV526" s="1"/>
  <c r="AW526"/>
  <c r="AX526" s="1"/>
  <c r="O527"/>
  <c r="S527"/>
  <c r="AE527"/>
  <c r="AH527" s="1"/>
  <c r="AI527"/>
  <c r="AL527" s="1"/>
  <c r="AU527"/>
  <c r="AV527" s="1"/>
  <c r="AW527"/>
  <c r="AX527" s="1"/>
  <c r="O528"/>
  <c r="S528"/>
  <c r="AE528"/>
  <c r="AH528" s="1"/>
  <c r="AI528"/>
  <c r="AL528" s="1"/>
  <c r="AU528"/>
  <c r="AV528" s="1"/>
  <c r="AW528"/>
  <c r="AX528" s="1"/>
  <c r="O529"/>
  <c r="S529"/>
  <c r="AE529"/>
  <c r="AH529" s="1"/>
  <c r="AI529"/>
  <c r="AL529" s="1"/>
  <c r="AU529"/>
  <c r="AV529" s="1"/>
  <c r="AW529"/>
  <c r="AX529" s="1"/>
  <c r="O530"/>
  <c r="S530"/>
  <c r="AE530"/>
  <c r="AH530" s="1"/>
  <c r="AI530"/>
  <c r="AL530" s="1"/>
  <c r="AU530"/>
  <c r="AV530" s="1"/>
  <c r="AW530"/>
  <c r="AX530" s="1"/>
  <c r="O531"/>
  <c r="S531"/>
  <c r="AE531"/>
  <c r="AH531" s="1"/>
  <c r="AI531"/>
  <c r="AL531" s="1"/>
  <c r="AU531"/>
  <c r="AV531" s="1"/>
  <c r="AW531"/>
  <c r="AX531" s="1"/>
  <c r="O532"/>
  <c r="S532"/>
  <c r="AE532"/>
  <c r="AH532" s="1"/>
  <c r="AI532"/>
  <c r="AL532" s="1"/>
  <c r="AU532"/>
  <c r="AV532" s="1"/>
  <c r="AW532"/>
  <c r="AX532" s="1"/>
  <c r="O533"/>
  <c r="S533"/>
  <c r="AE533"/>
  <c r="AH533" s="1"/>
  <c r="AI533"/>
  <c r="AL533" s="1"/>
  <c r="AU533"/>
  <c r="AV533" s="1"/>
  <c r="AW533"/>
  <c r="AX533" s="1"/>
  <c r="O534"/>
  <c r="S534"/>
  <c r="AE534"/>
  <c r="AH534" s="1"/>
  <c r="AI534"/>
  <c r="AL534" s="1"/>
  <c r="AU534"/>
  <c r="AV534" s="1"/>
  <c r="AW534"/>
  <c r="AX534" s="1"/>
  <c r="O535"/>
  <c r="S535"/>
  <c r="AE535"/>
  <c r="AH535" s="1"/>
  <c r="AI535"/>
  <c r="AL535" s="1"/>
  <c r="AU535"/>
  <c r="AV535" s="1"/>
  <c r="AW535"/>
  <c r="AX535" s="1"/>
  <c r="O536"/>
  <c r="S536"/>
  <c r="AE536"/>
  <c r="AH536" s="1"/>
  <c r="AI536"/>
  <c r="AL536" s="1"/>
  <c r="AU536"/>
  <c r="AV536" s="1"/>
  <c r="AW536"/>
  <c r="AX536" s="1"/>
  <c r="O537"/>
  <c r="S537"/>
  <c r="AE537"/>
  <c r="AH537" s="1"/>
  <c r="AI537"/>
  <c r="AL537" s="1"/>
  <c r="AU537"/>
  <c r="AV537" s="1"/>
  <c r="AW537"/>
  <c r="AX537" s="1"/>
  <c r="O538"/>
  <c r="S538"/>
  <c r="AE538"/>
  <c r="AH538" s="1"/>
  <c r="AI538"/>
  <c r="AL538" s="1"/>
  <c r="AU538"/>
  <c r="AV538" s="1"/>
  <c r="AW538"/>
  <c r="AX538" s="1"/>
  <c r="O539"/>
  <c r="S539"/>
  <c r="AE539"/>
  <c r="AH539" s="1"/>
  <c r="AI539"/>
  <c r="AL539" s="1"/>
  <c r="AU539"/>
  <c r="AV539" s="1"/>
  <c r="AW539"/>
  <c r="AX539" s="1"/>
  <c r="O540"/>
  <c r="S540"/>
  <c r="AE540"/>
  <c r="AH540" s="1"/>
  <c r="AI540"/>
  <c r="AL540" s="1"/>
  <c r="AU540"/>
  <c r="AV540" s="1"/>
  <c r="AW540"/>
  <c r="AX540" s="1"/>
  <c r="O541"/>
  <c r="S541"/>
  <c r="AE541"/>
  <c r="AH541" s="1"/>
  <c r="AI541"/>
  <c r="AL541" s="1"/>
  <c r="AU541"/>
  <c r="AV541" s="1"/>
  <c r="AW541"/>
  <c r="AX541" s="1"/>
  <c r="O542"/>
  <c r="S542"/>
  <c r="AE542"/>
  <c r="AH542" s="1"/>
  <c r="AI542"/>
  <c r="AL542" s="1"/>
  <c r="AU542"/>
  <c r="AV542" s="1"/>
  <c r="AW542"/>
  <c r="AX542" s="1"/>
  <c r="O543"/>
  <c r="S543"/>
  <c r="AE543"/>
  <c r="AH543" s="1"/>
  <c r="AI543"/>
  <c r="AL543" s="1"/>
  <c r="AU543"/>
  <c r="AV543" s="1"/>
  <c r="AW543"/>
  <c r="AX543" s="1"/>
  <c r="O544"/>
  <c r="S544"/>
  <c r="AE544"/>
  <c r="AH544" s="1"/>
  <c r="AI544"/>
  <c r="AL544" s="1"/>
  <c r="AU544"/>
  <c r="AV544" s="1"/>
  <c r="AW544"/>
  <c r="AX544" s="1"/>
  <c r="O545"/>
  <c r="S545"/>
  <c r="AE545"/>
  <c r="AH545" s="1"/>
  <c r="AI545"/>
  <c r="AL545" s="1"/>
  <c r="AU545"/>
  <c r="AV545" s="1"/>
  <c r="AW545"/>
  <c r="AX545" s="1"/>
  <c r="O546"/>
  <c r="S546"/>
  <c r="AE546"/>
  <c r="AH546" s="1"/>
  <c r="AI546"/>
  <c r="AL546" s="1"/>
  <c r="AU546"/>
  <c r="AV546" s="1"/>
  <c r="AW546"/>
  <c r="AX546" s="1"/>
  <c r="O547"/>
  <c r="S547"/>
  <c r="AE547"/>
  <c r="AH547" s="1"/>
  <c r="AI547"/>
  <c r="AL547" s="1"/>
  <c r="AU547"/>
  <c r="AV547" s="1"/>
  <c r="AW547"/>
  <c r="AX547" s="1"/>
  <c r="O548"/>
  <c r="S548"/>
  <c r="AE548"/>
  <c r="AH548" s="1"/>
  <c r="AI548"/>
  <c r="AL548" s="1"/>
  <c r="AU548"/>
  <c r="AV548" s="1"/>
  <c r="AW548"/>
  <c r="AX548" s="1"/>
  <c r="O549"/>
  <c r="S549"/>
  <c r="AE549"/>
  <c r="AH549" s="1"/>
  <c r="AI549"/>
  <c r="AL549" s="1"/>
  <c r="AU549"/>
  <c r="AV549" s="1"/>
  <c r="AW549"/>
  <c r="AX549" s="1"/>
  <c r="O550"/>
  <c r="S550"/>
  <c r="AE550"/>
  <c r="AH550" s="1"/>
  <c r="AI550"/>
  <c r="AL550" s="1"/>
  <c r="AU550"/>
  <c r="AV550" s="1"/>
  <c r="AW550"/>
  <c r="AX550" s="1"/>
  <c r="O551"/>
  <c r="S551"/>
  <c r="AE551"/>
  <c r="AH551" s="1"/>
  <c r="AI551"/>
  <c r="AL551" s="1"/>
  <c r="AU551"/>
  <c r="AV551" s="1"/>
  <c r="AW551"/>
  <c r="AX551" s="1"/>
  <c r="O552"/>
  <c r="S552"/>
  <c r="AE552"/>
  <c r="AH552" s="1"/>
  <c r="AI552"/>
  <c r="AL552" s="1"/>
  <c r="AU552"/>
  <c r="AV552" s="1"/>
  <c r="AW552"/>
  <c r="AX552" s="1"/>
  <c r="O553"/>
  <c r="S553"/>
  <c r="AE553"/>
  <c r="AI553"/>
  <c r="AU553"/>
  <c r="AV553" s="1"/>
  <c r="AW553"/>
  <c r="AX553" s="1"/>
  <c r="O554"/>
  <c r="S554"/>
  <c r="AE554"/>
  <c r="AI554"/>
  <c r="AU554"/>
  <c r="AV554" s="1"/>
  <c r="AW554"/>
  <c r="AX554" s="1"/>
  <c r="O555"/>
  <c r="S555"/>
  <c r="AE555"/>
  <c r="AI555"/>
  <c r="AU555"/>
  <c r="AV555" s="1"/>
  <c r="AW555"/>
  <c r="AX555" s="1"/>
  <c r="O556"/>
  <c r="S556"/>
  <c r="AE556"/>
  <c r="AI556"/>
  <c r="AU556"/>
  <c r="AV556" s="1"/>
  <c r="AW556"/>
  <c r="AX556" s="1"/>
  <c r="O557"/>
  <c r="S557"/>
  <c r="AE557"/>
  <c r="AI557"/>
  <c r="AU557"/>
  <c r="AV557" s="1"/>
  <c r="AW557"/>
  <c r="AX557" s="1"/>
  <c r="O558"/>
  <c r="S558"/>
  <c r="AE558"/>
  <c r="AI558"/>
  <c r="AU558"/>
  <c r="AV558" s="1"/>
  <c r="AW558"/>
  <c r="AX558" s="1"/>
  <c r="O559"/>
  <c r="S559"/>
  <c r="AE559"/>
  <c r="AI559"/>
  <c r="AU559"/>
  <c r="AV559" s="1"/>
  <c r="AW559"/>
  <c r="AX559" s="1"/>
  <c r="O560"/>
  <c r="S560"/>
  <c r="AE560"/>
  <c r="AI560"/>
  <c r="AU560"/>
  <c r="AV560" s="1"/>
  <c r="AW560"/>
  <c r="AX560" s="1"/>
  <c r="O561"/>
  <c r="S561"/>
  <c r="AE561"/>
  <c r="AI561"/>
  <c r="AU561"/>
  <c r="AV561" s="1"/>
  <c r="AW561"/>
  <c r="AX561" s="1"/>
  <c r="O562"/>
  <c r="S562"/>
  <c r="AE562"/>
  <c r="AI562"/>
  <c r="AU562"/>
  <c r="AV562" s="1"/>
  <c r="AW562"/>
  <c r="AX562" s="1"/>
  <c r="O563"/>
  <c r="S563"/>
  <c r="AE563"/>
  <c r="AI563"/>
  <c r="AU563"/>
  <c r="AV563" s="1"/>
  <c r="AW563"/>
  <c r="AX563" s="1"/>
  <c r="O564"/>
  <c r="S564"/>
  <c r="AE564"/>
  <c r="AI564"/>
  <c r="AU564"/>
  <c r="AV564" s="1"/>
  <c r="AW564"/>
  <c r="AX564" s="1"/>
  <c r="O565"/>
  <c r="S565"/>
  <c r="AE565"/>
  <c r="AI565"/>
  <c r="AU565"/>
  <c r="AV565" s="1"/>
  <c r="AW565"/>
  <c r="AX565" s="1"/>
  <c r="O566"/>
  <c r="S566"/>
  <c r="AE566"/>
  <c r="AI566"/>
  <c r="AU566"/>
  <c r="AV566" s="1"/>
  <c r="AW566"/>
  <c r="AX566" s="1"/>
  <c r="O567"/>
  <c r="P567" s="1"/>
  <c r="R567"/>
  <c r="S567"/>
  <c r="T567" s="1"/>
  <c r="V567"/>
  <c r="AE567"/>
  <c r="AF567" s="1"/>
  <c r="AH567"/>
  <c r="AI567"/>
  <c r="AJ567" s="1"/>
  <c r="AL567"/>
  <c r="AU567"/>
  <c r="AV567"/>
  <c r="AW567"/>
  <c r="AX567"/>
  <c r="O568"/>
  <c r="P568" s="1"/>
  <c r="R568"/>
  <c r="S568"/>
  <c r="T568" s="1"/>
  <c r="V568"/>
  <c r="AE568"/>
  <c r="AF568" s="1"/>
  <c r="AH568"/>
  <c r="AI568"/>
  <c r="AJ568" s="1"/>
  <c r="AL568"/>
  <c r="AU568"/>
  <c r="AV568"/>
  <c r="AW568"/>
  <c r="AX568"/>
  <c r="O569"/>
  <c r="P569" s="1"/>
  <c r="R569"/>
  <c r="S569"/>
  <c r="T569" s="1"/>
  <c r="V569"/>
  <c r="AE569"/>
  <c r="AF569" s="1"/>
  <c r="AH569"/>
  <c r="AI569"/>
  <c r="AJ569" s="1"/>
  <c r="AL569"/>
  <c r="AU569"/>
  <c r="AV569"/>
  <c r="AW569"/>
  <c r="AX569"/>
  <c r="O570"/>
  <c r="P570" s="1"/>
  <c r="R570"/>
  <c r="S570"/>
  <c r="T570" s="1"/>
  <c r="V570"/>
  <c r="AE570"/>
  <c r="AF570" s="1"/>
  <c r="AH570"/>
  <c r="AI570"/>
  <c r="AJ570" s="1"/>
  <c r="AL570"/>
  <c r="AU570"/>
  <c r="AV570"/>
  <c r="AW570"/>
  <c r="AX570"/>
  <c r="O571"/>
  <c r="P571" s="1"/>
  <c r="R571"/>
  <c r="S571"/>
  <c r="T571" s="1"/>
  <c r="V571"/>
  <c r="AE571"/>
  <c r="AF571" s="1"/>
  <c r="AH571"/>
  <c r="AI571"/>
  <c r="AJ571" s="1"/>
  <c r="AL571"/>
  <c r="AU571"/>
  <c r="AV571" s="1"/>
  <c r="AW571"/>
  <c r="AX571" s="1"/>
  <c r="O572"/>
  <c r="S572"/>
  <c r="AE572"/>
  <c r="AI572"/>
  <c r="AU572"/>
  <c r="AV572" s="1"/>
  <c r="AW572"/>
  <c r="AX572" s="1"/>
  <c r="O573"/>
  <c r="S573"/>
  <c r="AE573"/>
  <c r="AI573"/>
  <c r="AU573"/>
  <c r="AV573" s="1"/>
  <c r="AW573"/>
  <c r="AX573" s="1"/>
  <c r="O574"/>
  <c r="S574"/>
  <c r="AE574"/>
  <c r="AI574"/>
  <c r="AU574"/>
  <c r="AV574" s="1"/>
  <c r="AW574"/>
  <c r="AX574" s="1"/>
  <c r="O575"/>
  <c r="S575"/>
  <c r="AE575"/>
  <c r="AI575"/>
  <c r="AU575"/>
  <c r="AV575" s="1"/>
  <c r="AW575"/>
  <c r="AX575" s="1"/>
  <c r="O576"/>
  <c r="S576"/>
  <c r="AE576"/>
  <c r="AI576"/>
  <c r="AU576"/>
  <c r="AV576" s="1"/>
  <c r="AW576"/>
  <c r="AX576" s="1"/>
  <c r="O577"/>
  <c r="S577"/>
  <c r="AE577"/>
  <c r="AI577"/>
  <c r="AU577"/>
  <c r="AV577" s="1"/>
  <c r="AW577"/>
  <c r="AX577" s="1"/>
  <c r="O578"/>
  <c r="S578"/>
  <c r="AE578"/>
  <c r="AI578"/>
  <c r="AU578"/>
  <c r="AV578" s="1"/>
  <c r="AW578"/>
  <c r="AX578" s="1"/>
  <c r="O579"/>
  <c r="S579"/>
  <c r="AE579"/>
  <c r="AI579"/>
  <c r="AU579"/>
  <c r="AV579" s="1"/>
  <c r="AW579"/>
  <c r="AX579" s="1"/>
  <c r="O580"/>
  <c r="S580"/>
  <c r="AE580"/>
  <c r="AI580"/>
  <c r="AU580"/>
  <c r="AV580" s="1"/>
  <c r="AW580"/>
  <c r="AX580" s="1"/>
  <c r="O581"/>
  <c r="S581"/>
  <c r="AE581"/>
  <c r="AI581"/>
  <c r="AU581"/>
  <c r="AV581" s="1"/>
  <c r="AW581"/>
  <c r="AX581" s="1"/>
  <c r="O582"/>
  <c r="S582"/>
  <c r="AE582"/>
  <c r="AI582"/>
  <c r="AU582"/>
  <c r="AV582" s="1"/>
  <c r="AW582"/>
  <c r="AX582" s="1"/>
  <c r="O583"/>
  <c r="S583"/>
  <c r="AE583"/>
  <c r="AI583"/>
  <c r="AU583"/>
  <c r="AV583" s="1"/>
  <c r="AW583"/>
  <c r="AX583" s="1"/>
  <c r="O584"/>
  <c r="S584"/>
  <c r="AE584"/>
  <c r="AI584"/>
  <c r="AU584"/>
  <c r="AV584" s="1"/>
  <c r="AW584"/>
  <c r="AX584" s="1"/>
  <c r="O585"/>
  <c r="S585"/>
  <c r="AE585"/>
  <c r="AI585"/>
  <c r="AU585"/>
  <c r="AV585" s="1"/>
  <c r="AW585"/>
  <c r="AX585" s="1"/>
  <c r="O586"/>
  <c r="S586"/>
  <c r="AE586"/>
  <c r="AI586"/>
  <c r="AU586"/>
  <c r="AV586" s="1"/>
  <c r="AW586"/>
  <c r="AX586" s="1"/>
  <c r="O587"/>
  <c r="S587"/>
  <c r="AE587"/>
  <c r="AI587"/>
  <c r="AU587"/>
  <c r="AV587" s="1"/>
  <c r="AW587"/>
  <c r="AX587" s="1"/>
  <c r="O588"/>
  <c r="S588"/>
  <c r="AE588"/>
  <c r="AH588" s="1"/>
  <c r="AI588"/>
  <c r="AL588" s="1"/>
  <c r="AU588"/>
  <c r="AV588" s="1"/>
  <c r="AW588"/>
  <c r="AX588" s="1"/>
  <c r="O589"/>
  <c r="S589"/>
  <c r="AE589"/>
  <c r="AH589" s="1"/>
  <c r="AI589"/>
  <c r="AL589" s="1"/>
  <c r="AU589"/>
  <c r="AV589" s="1"/>
  <c r="AW589"/>
  <c r="AX589" s="1"/>
  <c r="O590"/>
  <c r="S590"/>
  <c r="AE590"/>
  <c r="AH590" s="1"/>
  <c r="AI590"/>
  <c r="AL590" s="1"/>
  <c r="AU590"/>
  <c r="AV590" s="1"/>
  <c r="AW590"/>
  <c r="AX590" s="1"/>
  <c r="O591"/>
  <c r="S591"/>
  <c r="AE591"/>
  <c r="AH591" s="1"/>
  <c r="AI591"/>
  <c r="AL591" s="1"/>
  <c r="AU591"/>
  <c r="AV591" s="1"/>
  <c r="AW591"/>
  <c r="AX591" s="1"/>
  <c r="O592"/>
  <c r="S592"/>
  <c r="AE592"/>
  <c r="AH592" s="1"/>
  <c r="AI592"/>
  <c r="AL592" s="1"/>
  <c r="AU592"/>
  <c r="AV592" s="1"/>
  <c r="AW592"/>
  <c r="AX592" s="1"/>
  <c r="O593"/>
  <c r="S593"/>
  <c r="AE593"/>
  <c r="AH593" s="1"/>
  <c r="AI593"/>
  <c r="AL593" s="1"/>
  <c r="AU593"/>
  <c r="AV593" s="1"/>
  <c r="AW593"/>
  <c r="AX593" s="1"/>
  <c r="O594"/>
  <c r="S594"/>
  <c r="AE594"/>
  <c r="AH594" s="1"/>
  <c r="AI594"/>
  <c r="AL594" s="1"/>
  <c r="AU594"/>
  <c r="AV594" s="1"/>
  <c r="AW594"/>
  <c r="AX594" s="1"/>
  <c r="O595"/>
  <c r="S595"/>
  <c r="AE595"/>
  <c r="AH595" s="1"/>
  <c r="AI595"/>
  <c r="AL595" s="1"/>
  <c r="AU595"/>
  <c r="AV595" s="1"/>
  <c r="AW595"/>
  <c r="AX595" s="1"/>
  <c r="O596"/>
  <c r="S596"/>
  <c r="AE596"/>
  <c r="AH596" s="1"/>
  <c r="AI596"/>
  <c r="AL596" s="1"/>
  <c r="AU596"/>
  <c r="AV596" s="1"/>
  <c r="AW596"/>
  <c r="AX596" s="1"/>
  <c r="O597"/>
  <c r="S597"/>
  <c r="AE597"/>
  <c r="AH597" s="1"/>
  <c r="AI597"/>
  <c r="AL597" s="1"/>
  <c r="AU597"/>
  <c r="AV597" s="1"/>
  <c r="AW597"/>
  <c r="AX597" s="1"/>
  <c r="O598"/>
  <c r="S598"/>
  <c r="AE598"/>
  <c r="AH598" s="1"/>
  <c r="AI598"/>
  <c r="AL598" s="1"/>
  <c r="AU598"/>
  <c r="AV598" s="1"/>
  <c r="AW598"/>
  <c r="AX598" s="1"/>
  <c r="O599"/>
  <c r="S599"/>
  <c r="AE599"/>
  <c r="AH599" s="1"/>
  <c r="AI599"/>
  <c r="AL599" s="1"/>
  <c r="AU599"/>
  <c r="AV599" s="1"/>
  <c r="AW599"/>
  <c r="AX599" s="1"/>
  <c r="O600"/>
  <c r="S600"/>
  <c r="AE600"/>
  <c r="AH600" s="1"/>
  <c r="AI600"/>
  <c r="AL600" s="1"/>
  <c r="AU600"/>
  <c r="AV600" s="1"/>
  <c r="AW600"/>
  <c r="AX600" s="1"/>
  <c r="O601"/>
  <c r="S601"/>
  <c r="AE601"/>
  <c r="AH601" s="1"/>
  <c r="AI601"/>
  <c r="AL601" s="1"/>
  <c r="AU601"/>
  <c r="AV601" s="1"/>
  <c r="AW601"/>
  <c r="AX601" s="1"/>
  <c r="O602"/>
  <c r="S602"/>
  <c r="AE602"/>
  <c r="AH602" s="1"/>
  <c r="AI602"/>
  <c r="AL602" s="1"/>
  <c r="AU602"/>
  <c r="AV602" s="1"/>
  <c r="AW602"/>
  <c r="AX602" s="1"/>
  <c r="O603"/>
  <c r="S603"/>
  <c r="AE603"/>
  <c r="AH603" s="1"/>
  <c r="AI603"/>
  <c r="AL603" s="1"/>
  <c r="AU603"/>
  <c r="AV603" s="1"/>
  <c r="AW603"/>
  <c r="AX603" s="1"/>
  <c r="O604"/>
  <c r="S604"/>
  <c r="AE604"/>
  <c r="AH604" s="1"/>
  <c r="AI604"/>
  <c r="AL604" s="1"/>
  <c r="AU604"/>
  <c r="AV604" s="1"/>
  <c r="AW604"/>
  <c r="AX604" s="1"/>
  <c r="O605"/>
  <c r="S605"/>
  <c r="AE605"/>
  <c r="AH605" s="1"/>
  <c r="AI605"/>
  <c r="AL605" s="1"/>
  <c r="AU605"/>
  <c r="AV605" s="1"/>
  <c r="AW605"/>
  <c r="AX605" s="1"/>
  <c r="O606"/>
  <c r="S606"/>
  <c r="AE606"/>
  <c r="AH606" s="1"/>
  <c r="AI606"/>
  <c r="AL606" s="1"/>
  <c r="AU606"/>
  <c r="AV606" s="1"/>
  <c r="AW606"/>
  <c r="AX606" s="1"/>
  <c r="O607"/>
  <c r="S607"/>
  <c r="AE607"/>
  <c r="AH607" s="1"/>
  <c r="AI607"/>
  <c r="AL607" s="1"/>
  <c r="AU607"/>
  <c r="AV607" s="1"/>
  <c r="AW607"/>
  <c r="AX607" s="1"/>
  <c r="O608"/>
  <c r="S608"/>
  <c r="AE608"/>
  <c r="AH608" s="1"/>
  <c r="AI608"/>
  <c r="AL608" s="1"/>
  <c r="AU608"/>
  <c r="AV608" s="1"/>
  <c r="AW608"/>
  <c r="AX608" s="1"/>
  <c r="O609"/>
  <c r="S609"/>
  <c r="AE609"/>
  <c r="AH609" s="1"/>
  <c r="AI609"/>
  <c r="AL609" s="1"/>
  <c r="AU609"/>
  <c r="AV609" s="1"/>
  <c r="AW609"/>
  <c r="AX609" s="1"/>
  <c r="O610"/>
  <c r="S610"/>
  <c r="AE610"/>
  <c r="AH610" s="1"/>
  <c r="AI610"/>
  <c r="AL610" s="1"/>
  <c r="AU610"/>
  <c r="AV610" s="1"/>
  <c r="AW610"/>
  <c r="AX610" s="1"/>
  <c r="O611"/>
  <c r="S611"/>
  <c r="AE611"/>
  <c r="AH611" s="1"/>
  <c r="AI611"/>
  <c r="AL611" s="1"/>
  <c r="AU611"/>
  <c r="AV611" s="1"/>
  <c r="AW611"/>
  <c r="AX611" s="1"/>
  <c r="O612"/>
  <c r="S612"/>
  <c r="AE612"/>
  <c r="AH612" s="1"/>
  <c r="AI612"/>
  <c r="AL612" s="1"/>
  <c r="AU612"/>
  <c r="AV612" s="1"/>
  <c r="AW612"/>
  <c r="AX612" s="1"/>
  <c r="O613"/>
  <c r="S613"/>
  <c r="AE613"/>
  <c r="AH613" s="1"/>
  <c r="AI613"/>
  <c r="AL613" s="1"/>
  <c r="AU613"/>
  <c r="AV613" s="1"/>
  <c r="AW613"/>
  <c r="AX613" s="1"/>
  <c r="O614"/>
  <c r="S614"/>
  <c r="AE614"/>
  <c r="AH614" s="1"/>
  <c r="AI614"/>
  <c r="AL614" s="1"/>
  <c r="AU614"/>
  <c r="AV614" s="1"/>
  <c r="AW614"/>
  <c r="AX614" s="1"/>
  <c r="O615"/>
  <c r="S615"/>
  <c r="AE615"/>
  <c r="AH615" s="1"/>
  <c r="AI615"/>
  <c r="AL615" s="1"/>
  <c r="AU615"/>
  <c r="AV615" s="1"/>
  <c r="AW615"/>
  <c r="AX615" s="1"/>
  <c r="O616"/>
  <c r="S616"/>
  <c r="AE616"/>
  <c r="AH616" s="1"/>
  <c r="AI616"/>
  <c r="AL616" s="1"/>
  <c r="AU616"/>
  <c r="AV616" s="1"/>
  <c r="AW616"/>
  <c r="AX616" s="1"/>
  <c r="O617"/>
  <c r="S617"/>
  <c r="AE617"/>
  <c r="AH617" s="1"/>
  <c r="AI617"/>
  <c r="AL617" s="1"/>
  <c r="AU617"/>
  <c r="AV617" s="1"/>
  <c r="AW617"/>
  <c r="AX617" s="1"/>
  <c r="O618"/>
  <c r="S618"/>
  <c r="AE618"/>
  <c r="AH618" s="1"/>
  <c r="AI618"/>
  <c r="AL618" s="1"/>
  <c r="AU618"/>
  <c r="AV618" s="1"/>
  <c r="AW618"/>
  <c r="AX618" s="1"/>
  <c r="O619"/>
  <c r="S619"/>
  <c r="AE619"/>
  <c r="AH619" s="1"/>
  <c r="AI619"/>
  <c r="AL619" s="1"/>
  <c r="AU619"/>
  <c r="AV619" s="1"/>
  <c r="AW619"/>
  <c r="AX619" s="1"/>
  <c r="O620"/>
  <c r="S620"/>
  <c r="AE620"/>
  <c r="AH620" s="1"/>
  <c r="AI620"/>
  <c r="AL620" s="1"/>
  <c r="AU620"/>
  <c r="AV620" s="1"/>
  <c r="AW620"/>
  <c r="AX620" s="1"/>
  <c r="O621"/>
  <c r="S621"/>
  <c r="AE621"/>
  <c r="AH621" s="1"/>
  <c r="AI621"/>
  <c r="AL621" s="1"/>
  <c r="AU621"/>
  <c r="AV621" s="1"/>
  <c r="AW621"/>
  <c r="AX621" s="1"/>
  <c r="O622"/>
  <c r="S622"/>
  <c r="AE622"/>
  <c r="AH622" s="1"/>
  <c r="AI622"/>
  <c r="AL622" s="1"/>
  <c r="AU622"/>
  <c r="AV622" s="1"/>
  <c r="AW622"/>
  <c r="AX622" s="1"/>
  <c r="O623"/>
  <c r="S623"/>
  <c r="AE623"/>
  <c r="AH623" s="1"/>
  <c r="AI623"/>
  <c r="AL623" s="1"/>
  <c r="AU623"/>
  <c r="AV623" s="1"/>
  <c r="AW623"/>
  <c r="AX623" s="1"/>
  <c r="O624"/>
  <c r="S624"/>
  <c r="AE624"/>
  <c r="AH624" s="1"/>
  <c r="AI624"/>
  <c r="AL624" s="1"/>
  <c r="AU624"/>
  <c r="AV624" s="1"/>
  <c r="AW624"/>
  <c r="AX624" s="1"/>
  <c r="O625"/>
  <c r="S625"/>
  <c r="AE625"/>
  <c r="AH625" s="1"/>
  <c r="AI625"/>
  <c r="AL625" s="1"/>
  <c r="AU625"/>
  <c r="AV625" s="1"/>
  <c r="AW625"/>
  <c r="AX625" s="1"/>
  <c r="O626"/>
  <c r="S626"/>
  <c r="AE626"/>
  <c r="AH626" s="1"/>
  <c r="AI626"/>
  <c r="AL626" s="1"/>
  <c r="AU626"/>
  <c r="AV626" s="1"/>
  <c r="AW626"/>
  <c r="AX626" s="1"/>
  <c r="O627"/>
  <c r="S627"/>
  <c r="AE627"/>
  <c r="AH627" s="1"/>
  <c r="AI627"/>
  <c r="AL627" s="1"/>
  <c r="AU627"/>
  <c r="AV627" s="1"/>
  <c r="AW627"/>
  <c r="AX627" s="1"/>
  <c r="O628"/>
  <c r="S628"/>
  <c r="AE628"/>
  <c r="AH628" s="1"/>
  <c r="AI628"/>
  <c r="AL628" s="1"/>
  <c r="AU628"/>
  <c r="AV628" s="1"/>
  <c r="AW628"/>
  <c r="AX628" s="1"/>
  <c r="O629"/>
  <c r="S629"/>
  <c r="AE629"/>
  <c r="AH629" s="1"/>
  <c r="AI629"/>
  <c r="AL629" s="1"/>
  <c r="AU629"/>
  <c r="AV629" s="1"/>
  <c r="AW629"/>
  <c r="AX629" s="1"/>
  <c r="O630"/>
  <c r="S630"/>
  <c r="AE630"/>
  <c r="AH630" s="1"/>
  <c r="AI630"/>
  <c r="AL630" s="1"/>
  <c r="AU630"/>
  <c r="AV630" s="1"/>
  <c r="AW630"/>
  <c r="AX630" s="1"/>
  <c r="O631"/>
  <c r="S631"/>
  <c r="AE631"/>
  <c r="AH631" s="1"/>
  <c r="AI631"/>
  <c r="AL631" s="1"/>
  <c r="AU631"/>
  <c r="AV631" s="1"/>
  <c r="AW631"/>
  <c r="AX631" s="1"/>
  <c r="O632"/>
  <c r="S632"/>
  <c r="AE632"/>
  <c r="AH632" s="1"/>
  <c r="AI632"/>
  <c r="AL632" s="1"/>
  <c r="AU632"/>
  <c r="AV632" s="1"/>
  <c r="AW632"/>
  <c r="AX632" s="1"/>
  <c r="O633"/>
  <c r="S633"/>
  <c r="AE633"/>
  <c r="AH633" s="1"/>
  <c r="AI633"/>
  <c r="AL633" s="1"/>
  <c r="AU633"/>
  <c r="AV633" s="1"/>
  <c r="AW633"/>
  <c r="AX633" s="1"/>
  <c r="O634"/>
  <c r="S634"/>
  <c r="AE634"/>
  <c r="AH634" s="1"/>
  <c r="AI634"/>
  <c r="AL634" s="1"/>
  <c r="AU634"/>
  <c r="AV634" s="1"/>
  <c r="AW634"/>
  <c r="AX634" s="1"/>
  <c r="O635"/>
  <c r="S635"/>
  <c r="AE635"/>
  <c r="AH635" s="1"/>
  <c r="AI635"/>
  <c r="AL635" s="1"/>
  <c r="AU635"/>
  <c r="AV635" s="1"/>
  <c r="AW635"/>
  <c r="AX635" s="1"/>
  <c r="O636"/>
  <c r="S636"/>
  <c r="AE636"/>
  <c r="AH636" s="1"/>
  <c r="AI636"/>
  <c r="AL636" s="1"/>
  <c r="AU636"/>
  <c r="AV636" s="1"/>
  <c r="AW636"/>
  <c r="AX636" s="1"/>
  <c r="O637"/>
  <c r="S637"/>
  <c r="AE637"/>
  <c r="AH637" s="1"/>
  <c r="AI637"/>
  <c r="AL637" s="1"/>
  <c r="AU637"/>
  <c r="AV637" s="1"/>
  <c r="AW637"/>
  <c r="AX637" s="1"/>
  <c r="O638"/>
  <c r="S638"/>
  <c r="AE638"/>
  <c r="AH638" s="1"/>
  <c r="AI638"/>
  <c r="AL638" s="1"/>
  <c r="AU638"/>
  <c r="AV638" s="1"/>
  <c r="AW638"/>
  <c r="AX638" s="1"/>
  <c r="O639"/>
  <c r="S639"/>
  <c r="AE639"/>
  <c r="AH639" s="1"/>
  <c r="AI639"/>
  <c r="AL639" s="1"/>
  <c r="AU639"/>
  <c r="AV639" s="1"/>
  <c r="AW639"/>
  <c r="AX639" s="1"/>
  <c r="O640"/>
  <c r="S640"/>
  <c r="AE640"/>
  <c r="AH640" s="1"/>
  <c r="AI640"/>
  <c r="AL640" s="1"/>
  <c r="AU640"/>
  <c r="AV640" s="1"/>
  <c r="AW640"/>
  <c r="AX640" s="1"/>
  <c r="O641"/>
  <c r="S641"/>
  <c r="AE641"/>
  <c r="AH641" s="1"/>
  <c r="AI641"/>
  <c r="AL641" s="1"/>
  <c r="AU641"/>
  <c r="AV641" s="1"/>
  <c r="AW641"/>
  <c r="AX641" s="1"/>
  <c r="O642"/>
  <c r="S642"/>
  <c r="AE642"/>
  <c r="AH642" s="1"/>
  <c r="AI642"/>
  <c r="AL642" s="1"/>
  <c r="AU642"/>
  <c r="AV642" s="1"/>
  <c r="AW642"/>
  <c r="AX642" s="1"/>
  <c r="O643"/>
  <c r="S643"/>
  <c r="AE643"/>
  <c r="AH643" s="1"/>
  <c r="AI643"/>
  <c r="AL643" s="1"/>
  <c r="AU643"/>
  <c r="AV643" s="1"/>
  <c r="AW643"/>
  <c r="AX643" s="1"/>
  <c r="O644"/>
  <c r="S644"/>
  <c r="AE644"/>
  <c r="AH644" s="1"/>
  <c r="AI644"/>
  <c r="AL644" s="1"/>
  <c r="AU644"/>
  <c r="AV644" s="1"/>
  <c r="AW644"/>
  <c r="AX644" s="1"/>
  <c r="O645"/>
  <c r="S645"/>
  <c r="AE645"/>
  <c r="AH645" s="1"/>
  <c r="AI645"/>
  <c r="AL645" s="1"/>
  <c r="AU645"/>
  <c r="AV645" s="1"/>
  <c r="AW645"/>
  <c r="AX645" s="1"/>
  <c r="O646"/>
  <c r="S646"/>
  <c r="AE646"/>
  <c r="AH646" s="1"/>
  <c r="AI646"/>
  <c r="AL646" s="1"/>
  <c r="AU646"/>
  <c r="AV646" s="1"/>
  <c r="AW646"/>
  <c r="AX646" s="1"/>
  <c r="O647"/>
  <c r="S647"/>
  <c r="AE647"/>
  <c r="AH647" s="1"/>
  <c r="AI647"/>
  <c r="AL647" s="1"/>
  <c r="AU647"/>
  <c r="AV647" s="1"/>
  <c r="AW647"/>
  <c r="AX647" s="1"/>
  <c r="O648"/>
  <c r="S648"/>
  <c r="AE648"/>
  <c r="AH648" s="1"/>
  <c r="AI648"/>
  <c r="AL648" s="1"/>
  <c r="AU648"/>
  <c r="AV648" s="1"/>
  <c r="AW648"/>
  <c r="AX648" s="1"/>
  <c r="O649"/>
  <c r="S649"/>
  <c r="AE649"/>
  <c r="AH649" s="1"/>
  <c r="AI649"/>
  <c r="AL649" s="1"/>
  <c r="AU649"/>
  <c r="AV649" s="1"/>
  <c r="AW649"/>
  <c r="AX649" s="1"/>
  <c r="O650"/>
  <c r="S650"/>
  <c r="AE650"/>
  <c r="AH650" s="1"/>
  <c r="AI650"/>
  <c r="AL650" s="1"/>
  <c r="AU650"/>
  <c r="AV650" s="1"/>
  <c r="AW650"/>
  <c r="AX650" s="1"/>
  <c r="O651"/>
  <c r="S651"/>
  <c r="AE651"/>
  <c r="AH651" s="1"/>
  <c r="AI651"/>
  <c r="AL651" s="1"/>
  <c r="AU651"/>
  <c r="AV651" s="1"/>
  <c r="AW651"/>
  <c r="AX651" s="1"/>
  <c r="O652"/>
  <c r="S652"/>
  <c r="AE652"/>
  <c r="AH652" s="1"/>
  <c r="AI652"/>
  <c r="AL652" s="1"/>
  <c r="AU652"/>
  <c r="AV652" s="1"/>
  <c r="AW652"/>
  <c r="AX652" s="1"/>
  <c r="O653"/>
  <c r="S653"/>
  <c r="AE653"/>
  <c r="AH653" s="1"/>
  <c r="AI653"/>
  <c r="AL653" s="1"/>
  <c r="AU653"/>
  <c r="AV653" s="1"/>
  <c r="AW653"/>
  <c r="AX653" s="1"/>
  <c r="O654"/>
  <c r="S654"/>
  <c r="T654" s="1"/>
  <c r="V654"/>
  <c r="AE654"/>
  <c r="AH654"/>
  <c r="AI654"/>
  <c r="AL654"/>
  <c r="AU654"/>
  <c r="AV654"/>
  <c r="AW654"/>
  <c r="AX654"/>
  <c r="O655"/>
  <c r="P655" s="1"/>
  <c r="R655"/>
  <c r="S655"/>
  <c r="T655" s="1"/>
  <c r="V655"/>
  <c r="AE655"/>
  <c r="AH655"/>
  <c r="AI655"/>
  <c r="AL655"/>
  <c r="AU655"/>
  <c r="AV655"/>
  <c r="AW655"/>
  <c r="AX655"/>
  <c r="G656"/>
  <c r="H656"/>
  <c r="I656"/>
  <c r="J656"/>
  <c r="K656"/>
  <c r="L656"/>
  <c r="M656"/>
  <c r="O656" s="1"/>
  <c r="R656" s="1"/>
  <c r="N656"/>
  <c r="Q656"/>
  <c r="P656" s="1"/>
  <c r="U656"/>
  <c r="W656"/>
  <c r="X656"/>
  <c r="Y656"/>
  <c r="Z656"/>
  <c r="AA656"/>
  <c r="AB656"/>
  <c r="AC656"/>
  <c r="AD656"/>
  <c r="AU656"/>
  <c r="AV656" s="1"/>
  <c r="AW656"/>
  <c r="AX656" s="1"/>
  <c r="G657"/>
  <c r="H657"/>
  <c r="I657"/>
  <c r="J657"/>
  <c r="K657"/>
  <c r="L657"/>
  <c r="M657"/>
  <c r="N657"/>
  <c r="O657"/>
  <c r="Q657"/>
  <c r="P657" s="1"/>
  <c r="R657"/>
  <c r="U657"/>
  <c r="W657"/>
  <c r="X657"/>
  <c r="AI657" s="1"/>
  <c r="AL657" s="1"/>
  <c r="Y657"/>
  <c r="Z657"/>
  <c r="AA657"/>
  <c r="AB657"/>
  <c r="AC657"/>
  <c r="AD657"/>
  <c r="AU657"/>
  <c r="AV657" s="1"/>
  <c r="AW657"/>
  <c r="AX657" s="1"/>
  <c r="G658"/>
  <c r="H658"/>
  <c r="I658"/>
  <c r="I663" s="1"/>
  <c r="J658"/>
  <c r="K658"/>
  <c r="K663" s="1"/>
  <c r="L658"/>
  <c r="L663" s="1"/>
  <c r="M658"/>
  <c r="M663" s="1"/>
  <c r="N658"/>
  <c r="N663" s="1"/>
  <c r="Q658"/>
  <c r="U658"/>
  <c r="W658"/>
  <c r="X658"/>
  <c r="X663" s="1"/>
  <c r="Y658"/>
  <c r="Z658"/>
  <c r="AA658"/>
  <c r="AA663" s="1"/>
  <c r="AB658"/>
  <c r="AB663" s="1"/>
  <c r="AC658"/>
  <c r="AC663" s="1"/>
  <c r="AD658"/>
  <c r="AD663" s="1"/>
  <c r="AU658"/>
  <c r="AV658" s="1"/>
  <c r="AW658"/>
  <c r="AX658" s="1"/>
  <c r="G659"/>
  <c r="H659"/>
  <c r="I659"/>
  <c r="J659"/>
  <c r="K659"/>
  <c r="L659"/>
  <c r="M659"/>
  <c r="N659"/>
  <c r="Q659"/>
  <c r="U659"/>
  <c r="W659"/>
  <c r="X659"/>
  <c r="AI659" s="1"/>
  <c r="AL659" s="1"/>
  <c r="Y659"/>
  <c r="Z659"/>
  <c r="AA659"/>
  <c r="AB659"/>
  <c r="AC659"/>
  <c r="AD659"/>
  <c r="AU659"/>
  <c r="AV659"/>
  <c r="AW659"/>
  <c r="AX659"/>
  <c r="G660"/>
  <c r="G662"/>
  <c r="H660"/>
  <c r="I660"/>
  <c r="J660"/>
  <c r="K660"/>
  <c r="K662" s="1"/>
  <c r="L660"/>
  <c r="M660"/>
  <c r="M662" s="1"/>
  <c r="N660"/>
  <c r="Q660"/>
  <c r="U660"/>
  <c r="W660"/>
  <c r="X660"/>
  <c r="Y660"/>
  <c r="Y662" s="1"/>
  <c r="Z660"/>
  <c r="AA660"/>
  <c r="AA662" s="1"/>
  <c r="AB660"/>
  <c r="AC660"/>
  <c r="AD660"/>
  <c r="AD662" s="1"/>
  <c r="AU660"/>
  <c r="AV660" s="1"/>
  <c r="AW660"/>
  <c r="AX660" s="1"/>
  <c r="G661"/>
  <c r="G664" s="1"/>
  <c r="H661"/>
  <c r="H664" s="1"/>
  <c r="I661"/>
  <c r="J661"/>
  <c r="J664" s="1"/>
  <c r="K661"/>
  <c r="L661"/>
  <c r="L664" s="1"/>
  <c r="M661"/>
  <c r="M664" s="1"/>
  <c r="N661"/>
  <c r="N664" s="1"/>
  <c r="Q661"/>
  <c r="U661"/>
  <c r="W661"/>
  <c r="W664" s="1"/>
  <c r="X661"/>
  <c r="Y661"/>
  <c r="Z661"/>
  <c r="AA661"/>
  <c r="AA664" s="1"/>
  <c r="AB661"/>
  <c r="AC661"/>
  <c r="AC664" s="1"/>
  <c r="AD661"/>
  <c r="AU661"/>
  <c r="AV661" s="1"/>
  <c r="AW661"/>
  <c r="AX661" s="1"/>
  <c r="AU662"/>
  <c r="AV662" s="1"/>
  <c r="AW662"/>
  <c r="AX662" s="1"/>
  <c r="H663"/>
  <c r="Z663"/>
  <c r="AU663"/>
  <c r="AV663" s="1"/>
  <c r="AW663"/>
  <c r="AX663" s="1"/>
  <c r="Y664"/>
  <c r="AU664"/>
  <c r="AV664" s="1"/>
  <c r="AW664"/>
  <c r="AX664" s="1"/>
  <c r="O665"/>
  <c r="S665"/>
  <c r="AE665"/>
  <c r="AI665"/>
  <c r="AU665"/>
  <c r="AV665" s="1"/>
  <c r="AW665"/>
  <c r="AX665" s="1"/>
  <c r="O666"/>
  <c r="S666"/>
  <c r="AE666"/>
  <c r="AI666"/>
  <c r="AU666"/>
  <c r="AV666" s="1"/>
  <c r="AW666"/>
  <c r="AX666" s="1"/>
  <c r="O667"/>
  <c r="S667"/>
  <c r="AE667"/>
  <c r="AI667"/>
  <c r="AU667"/>
  <c r="AV667" s="1"/>
  <c r="AW667"/>
  <c r="AX667" s="1"/>
  <c r="O668"/>
  <c r="S668"/>
  <c r="AE668"/>
  <c r="AI668"/>
  <c r="AU668"/>
  <c r="AV668" s="1"/>
  <c r="AW668"/>
  <c r="AX668" s="1"/>
  <c r="O669"/>
  <c r="S669"/>
  <c r="AE669"/>
  <c r="AI669"/>
  <c r="AU669"/>
  <c r="AV669" s="1"/>
  <c r="AW669"/>
  <c r="AX669" s="1"/>
  <c r="O670"/>
  <c r="S670"/>
  <c r="AE670"/>
  <c r="AI670"/>
  <c r="AU670"/>
  <c r="AV670" s="1"/>
  <c r="AW670"/>
  <c r="AX670" s="1"/>
  <c r="O671"/>
  <c r="S671"/>
  <c r="AE671"/>
  <c r="AI671"/>
  <c r="AU671"/>
  <c r="AV671" s="1"/>
  <c r="AW671"/>
  <c r="AX671" s="1"/>
  <c r="O672"/>
  <c r="S672"/>
  <c r="AE672"/>
  <c r="AI672"/>
  <c r="AU672"/>
  <c r="AV672" s="1"/>
  <c r="AW672"/>
  <c r="AX672" s="1"/>
  <c r="O673"/>
  <c r="S673"/>
  <c r="AE673"/>
  <c r="AI673"/>
  <c r="AU673"/>
  <c r="AV673" s="1"/>
  <c r="AW673"/>
  <c r="AX673" s="1"/>
  <c r="O674"/>
  <c r="S674"/>
  <c r="AE674"/>
  <c r="AI674"/>
  <c r="AU674"/>
  <c r="AV674" s="1"/>
  <c r="AW674"/>
  <c r="AX674" s="1"/>
  <c r="O675"/>
  <c r="S675"/>
  <c r="AE675"/>
  <c r="AI675"/>
  <c r="AU675"/>
  <c r="AV675" s="1"/>
  <c r="AW675"/>
  <c r="AX675" s="1"/>
  <c r="O676"/>
  <c r="S676"/>
  <c r="AE676"/>
  <c r="AI676"/>
  <c r="AU676"/>
  <c r="AV676" s="1"/>
  <c r="AW676"/>
  <c r="AX676" s="1"/>
  <c r="O677"/>
  <c r="S677"/>
  <c r="AE677"/>
  <c r="AI677"/>
  <c r="AU677"/>
  <c r="AV677" s="1"/>
  <c r="AW677"/>
  <c r="AX677" s="1"/>
  <c r="O678"/>
  <c r="S678"/>
  <c r="AE678"/>
  <c r="AI678"/>
  <c r="AU678"/>
  <c r="AV678" s="1"/>
  <c r="AW678"/>
  <c r="AX678" s="1"/>
  <c r="O679"/>
  <c r="S679"/>
  <c r="AE679"/>
  <c r="AI679"/>
  <c r="AU679"/>
  <c r="AV679" s="1"/>
  <c r="AW679"/>
  <c r="AX679" s="1"/>
  <c r="O680"/>
  <c r="S680"/>
  <c r="AE680"/>
  <c r="AI680"/>
  <c r="AU680"/>
  <c r="AV680" s="1"/>
  <c r="AW680"/>
  <c r="AX680" s="1"/>
  <c r="O681"/>
  <c r="S681"/>
  <c r="AE681"/>
  <c r="AI681"/>
  <c r="AU681"/>
  <c r="AV681" s="1"/>
  <c r="AW681"/>
  <c r="AX681" s="1"/>
  <c r="O682"/>
  <c r="S682"/>
  <c r="AE682"/>
  <c r="AI682"/>
  <c r="AU682"/>
  <c r="AV682" s="1"/>
  <c r="AW682"/>
  <c r="AX682" s="1"/>
  <c r="O683"/>
  <c r="S683"/>
  <c r="T683" s="1"/>
  <c r="V683"/>
  <c r="AE683"/>
  <c r="AF683" s="1"/>
  <c r="AH683"/>
  <c r="AI683"/>
  <c r="AJ683" s="1"/>
  <c r="AL683"/>
  <c r="AU683"/>
  <c r="AV683"/>
  <c r="AW683"/>
  <c r="AX683"/>
  <c r="O684"/>
  <c r="P684" s="1"/>
  <c r="R684"/>
  <c r="S684"/>
  <c r="T684" s="1"/>
  <c r="V684"/>
  <c r="AE684"/>
  <c r="AF684" s="1"/>
  <c r="AH684"/>
  <c r="AI684"/>
  <c r="AJ684" s="1"/>
  <c r="AL684"/>
  <c r="AU684"/>
  <c r="AV684"/>
  <c r="AW684"/>
  <c r="AX684"/>
  <c r="O685"/>
  <c r="P685" s="1"/>
  <c r="R685"/>
  <c r="S685"/>
  <c r="AE685"/>
  <c r="AI685"/>
  <c r="AU685"/>
  <c r="AV685" s="1"/>
  <c r="AW685"/>
  <c r="AX685" s="1"/>
  <c r="O686"/>
  <c r="S686"/>
  <c r="AE686"/>
  <c r="AI686"/>
  <c r="AU686"/>
  <c r="AV686" s="1"/>
  <c r="AW686"/>
  <c r="AX686" s="1"/>
  <c r="O687"/>
  <c r="S687"/>
  <c r="AE687"/>
  <c r="AF687" s="1"/>
  <c r="AI687"/>
  <c r="AJ687" s="1"/>
  <c r="AU687"/>
  <c r="AV687" s="1"/>
  <c r="AW687"/>
  <c r="AX687" s="1"/>
  <c r="O688"/>
  <c r="P688" s="1"/>
  <c r="S688"/>
  <c r="T688" s="1"/>
  <c r="AE688"/>
  <c r="AF688" s="1"/>
  <c r="AI688"/>
  <c r="AJ688" s="1"/>
  <c r="AU688"/>
  <c r="AV688" s="1"/>
  <c r="AW688"/>
  <c r="AX688" s="1"/>
  <c r="O689"/>
  <c r="P689" s="1"/>
  <c r="S689"/>
  <c r="AE689"/>
  <c r="AI689"/>
  <c r="AU689"/>
  <c r="AV689" s="1"/>
  <c r="AW689"/>
  <c r="AX689" s="1"/>
  <c r="O690"/>
  <c r="S690"/>
  <c r="AE690"/>
  <c r="AI690"/>
  <c r="AU690"/>
  <c r="AV690" s="1"/>
  <c r="AW690"/>
  <c r="AX690" s="1"/>
  <c r="O691"/>
  <c r="S691"/>
  <c r="AE691"/>
  <c r="AI691"/>
  <c r="AU691"/>
  <c r="AV691" s="1"/>
  <c r="AW691"/>
  <c r="AX691" s="1"/>
  <c r="O692"/>
  <c r="S692"/>
  <c r="AE692"/>
  <c r="AF692" s="1"/>
  <c r="AH692"/>
  <c r="AI692"/>
  <c r="AJ692" s="1"/>
  <c r="AL692"/>
  <c r="AU692"/>
  <c r="AV692"/>
  <c r="AW692"/>
  <c r="AX692"/>
  <c r="O693"/>
  <c r="P693" s="1"/>
  <c r="R693"/>
  <c r="S693"/>
  <c r="T693" s="1"/>
  <c r="V693"/>
  <c r="AE693"/>
  <c r="AF693" s="1"/>
  <c r="AH693"/>
  <c r="AI693"/>
  <c r="AJ693" s="1"/>
  <c r="AL693"/>
  <c r="AU693"/>
  <c r="AV693"/>
  <c r="AW693"/>
  <c r="AX693"/>
  <c r="O694"/>
  <c r="P694" s="1"/>
  <c r="R694"/>
  <c r="S694"/>
  <c r="T694" s="1"/>
  <c r="V694"/>
  <c r="AE694"/>
  <c r="AF694" s="1"/>
  <c r="AH694"/>
  <c r="AI694"/>
  <c r="AJ694" s="1"/>
  <c r="AL694"/>
  <c r="AU694"/>
  <c r="AV694"/>
  <c r="AW694"/>
  <c r="AX694"/>
  <c r="O695"/>
  <c r="P695" s="1"/>
  <c r="R695"/>
  <c r="S695"/>
  <c r="T695" s="1"/>
  <c r="V695"/>
  <c r="AE695"/>
  <c r="AF695" s="1"/>
  <c r="AH695"/>
  <c r="AI695"/>
  <c r="AJ695" s="1"/>
  <c r="AL695"/>
  <c r="AU695"/>
  <c r="AV695"/>
  <c r="AW695"/>
  <c r="AX695"/>
  <c r="O696"/>
  <c r="P696" s="1"/>
  <c r="R696"/>
  <c r="S696"/>
  <c r="AE696"/>
  <c r="AI696"/>
  <c r="AU696"/>
  <c r="AV696" s="1"/>
  <c r="AW696"/>
  <c r="AX696" s="1"/>
  <c r="O697"/>
  <c r="S697"/>
  <c r="AE697"/>
  <c r="AI697"/>
  <c r="AU697"/>
  <c r="AV697" s="1"/>
  <c r="AW697"/>
  <c r="AX697" s="1"/>
  <c r="O698"/>
  <c r="S698"/>
  <c r="AE698"/>
  <c r="AI698"/>
  <c r="AU698"/>
  <c r="AV698" s="1"/>
  <c r="AW698"/>
  <c r="AX698" s="1"/>
  <c r="O699"/>
  <c r="S699"/>
  <c r="AE699"/>
  <c r="AI699"/>
  <c r="AU699"/>
  <c r="AV699" s="1"/>
  <c r="AW699"/>
  <c r="AX699" s="1"/>
  <c r="O700"/>
  <c r="S700"/>
  <c r="AE700"/>
  <c r="AI700"/>
  <c r="AU700"/>
  <c r="AV700" s="1"/>
  <c r="AW700"/>
  <c r="AX700" s="1"/>
  <c r="O701"/>
  <c r="S701"/>
  <c r="T701" s="1"/>
  <c r="AE701"/>
  <c r="AI701"/>
  <c r="AU701"/>
  <c r="AV701" s="1"/>
  <c r="AW701"/>
  <c r="AX701" s="1"/>
  <c r="O702"/>
  <c r="S702"/>
  <c r="AE702"/>
  <c r="AI702"/>
  <c r="AU702"/>
  <c r="AV702" s="1"/>
  <c r="AW702"/>
  <c r="AX702" s="1"/>
  <c r="O703"/>
  <c r="S703"/>
  <c r="T703" s="1"/>
  <c r="AE703"/>
  <c r="AI703"/>
  <c r="AU703"/>
  <c r="AV703" s="1"/>
  <c r="AW703"/>
  <c r="AX703" s="1"/>
  <c r="I704"/>
  <c r="J704"/>
  <c r="K704"/>
  <c r="L704"/>
  <c r="M704"/>
  <c r="N704"/>
  <c r="O704"/>
  <c r="Q704"/>
  <c r="R704"/>
  <c r="S704"/>
  <c r="V704" s="1"/>
  <c r="U704"/>
  <c r="T704" s="1"/>
  <c r="AE704"/>
  <c r="AI704"/>
  <c r="AU704"/>
  <c r="AV704" s="1"/>
  <c r="AW704"/>
  <c r="AX704" s="1"/>
  <c r="I705"/>
  <c r="J705"/>
  <c r="K705"/>
  <c r="L705"/>
  <c r="M705"/>
  <c r="N705"/>
  <c r="Q705"/>
  <c r="S705"/>
  <c r="U705"/>
  <c r="T705" s="1"/>
  <c r="V705"/>
  <c r="AE705"/>
  <c r="AI705"/>
  <c r="AU705"/>
  <c r="AV705" s="1"/>
  <c r="AW705"/>
  <c r="AX705" s="1"/>
  <c r="O706"/>
  <c r="S706"/>
  <c r="AE706"/>
  <c r="AI706"/>
  <c r="AU706"/>
  <c r="AV706" s="1"/>
  <c r="AW706"/>
  <c r="AX706" s="1"/>
  <c r="O707"/>
  <c r="S707"/>
  <c r="AE707"/>
  <c r="AI707"/>
  <c r="AU707"/>
  <c r="AV707" s="1"/>
  <c r="AW707"/>
  <c r="AX707" s="1"/>
  <c r="O708"/>
  <c r="S708"/>
  <c r="AE708"/>
  <c r="AI708"/>
  <c r="AU708"/>
  <c r="AV708" s="1"/>
  <c r="AW708"/>
  <c r="AX708" s="1"/>
  <c r="O709"/>
  <c r="S709"/>
  <c r="AE709"/>
  <c r="AI709"/>
  <c r="AU709"/>
  <c r="AV709" s="1"/>
  <c r="AW709"/>
  <c r="AX709" s="1"/>
  <c r="O710"/>
  <c r="S710"/>
  <c r="AE710"/>
  <c r="AI710"/>
  <c r="AU710"/>
  <c r="AV710" s="1"/>
  <c r="AW710"/>
  <c r="AX710" s="1"/>
  <c r="O711"/>
  <c r="S711"/>
  <c r="AE711"/>
  <c r="AI711"/>
  <c r="AU711"/>
  <c r="AV711" s="1"/>
  <c r="AW711"/>
  <c r="AX711" s="1"/>
  <c r="O712"/>
  <c r="S712"/>
  <c r="AE712"/>
  <c r="AI712"/>
  <c r="AU712"/>
  <c r="AV712" s="1"/>
  <c r="AW712"/>
  <c r="AX712" s="1"/>
  <c r="O713"/>
  <c r="S713"/>
  <c r="AE713"/>
  <c r="AI713"/>
  <c r="AU713"/>
  <c r="AV713" s="1"/>
  <c r="AW713"/>
  <c r="AX713" s="1"/>
  <c r="O714"/>
  <c r="S714"/>
  <c r="AE714"/>
  <c r="AI714"/>
  <c r="AU714"/>
  <c r="AV714" s="1"/>
  <c r="AW714"/>
  <c r="AX714" s="1"/>
  <c r="O715"/>
  <c r="S715"/>
  <c r="T715" s="1"/>
  <c r="AE715"/>
  <c r="AI715"/>
  <c r="AU715"/>
  <c r="AV715" s="1"/>
  <c r="AW715"/>
  <c r="AX715" s="1"/>
  <c r="O716"/>
  <c r="P716" s="1"/>
  <c r="S716"/>
  <c r="T716" s="1"/>
  <c r="AE716"/>
  <c r="AF716" s="1"/>
  <c r="AI716"/>
  <c r="AJ716" s="1"/>
  <c r="AU716"/>
  <c r="AV716" s="1"/>
  <c r="AW716"/>
  <c r="AX716" s="1"/>
  <c r="O717"/>
  <c r="P717" s="1"/>
  <c r="S717"/>
  <c r="T717" s="1"/>
  <c r="AE717"/>
  <c r="AF717" s="1"/>
  <c r="AI717"/>
  <c r="AJ717" s="1"/>
  <c r="AU717"/>
  <c r="AV717" s="1"/>
  <c r="AW717"/>
  <c r="AX717" s="1"/>
  <c r="O718"/>
  <c r="P718" s="1"/>
  <c r="S718"/>
  <c r="AE718"/>
  <c r="AI718"/>
  <c r="AU718"/>
  <c r="AV718" s="1"/>
  <c r="AW718"/>
  <c r="AX718" s="1"/>
  <c r="O719"/>
  <c r="S719"/>
  <c r="AE719"/>
  <c r="AI719"/>
  <c r="AU719"/>
  <c r="AV719" s="1"/>
  <c r="AW719"/>
  <c r="AX719" s="1"/>
  <c r="O720"/>
  <c r="S720"/>
  <c r="AE720"/>
  <c r="AF720" s="1"/>
  <c r="AH720"/>
  <c r="AI720"/>
  <c r="AJ720" s="1"/>
  <c r="AL720"/>
  <c r="AU720"/>
  <c r="AV720"/>
  <c r="AW720"/>
  <c r="AX720"/>
  <c r="O721"/>
  <c r="P721" s="1"/>
  <c r="R721"/>
  <c r="S721"/>
  <c r="T721" s="1"/>
  <c r="V721"/>
  <c r="AE721"/>
  <c r="AF721" s="1"/>
  <c r="AH721"/>
  <c r="AI721"/>
  <c r="AJ721" s="1"/>
  <c r="AL721"/>
  <c r="AU721"/>
  <c r="AV721"/>
  <c r="AW721"/>
  <c r="AX721"/>
  <c r="O722"/>
  <c r="P722" s="1"/>
  <c r="R722"/>
  <c r="S722"/>
  <c r="T722" s="1"/>
  <c r="V722"/>
  <c r="AE722"/>
  <c r="AF722" s="1"/>
  <c r="AH722"/>
  <c r="AI722"/>
  <c r="AJ722" s="1"/>
  <c r="AL722"/>
  <c r="AU722"/>
  <c r="AV722"/>
  <c r="AW722"/>
  <c r="AX722"/>
  <c r="O723"/>
  <c r="P723" s="1"/>
  <c r="R723"/>
  <c r="S723"/>
  <c r="T723" s="1"/>
  <c r="AE723"/>
  <c r="AF723" s="1"/>
  <c r="AI723"/>
  <c r="AJ723" s="1"/>
  <c r="AU723"/>
  <c r="AV723" s="1"/>
  <c r="AW723"/>
  <c r="AX723" s="1"/>
  <c r="O724"/>
  <c r="P724" s="1"/>
  <c r="S724"/>
  <c r="AE724"/>
  <c r="AI724"/>
  <c r="AU724"/>
  <c r="AV724" s="1"/>
  <c r="AW724"/>
  <c r="AX724" s="1"/>
  <c r="O725"/>
  <c r="S725"/>
  <c r="AE725"/>
  <c r="AI725"/>
  <c r="AU725"/>
  <c r="AV725" s="1"/>
  <c r="AW725"/>
  <c r="AX725" s="1"/>
  <c r="O726"/>
  <c r="S726"/>
  <c r="AE726"/>
  <c r="AI726"/>
  <c r="AU726"/>
  <c r="AV726" s="1"/>
  <c r="AW726"/>
  <c r="AX726" s="1"/>
  <c r="AZ683"/>
  <c r="W663"/>
  <c r="AY118"/>
  <c r="AY116"/>
  <c r="AY114"/>
  <c r="AY112"/>
  <c r="AY110"/>
  <c r="AY108"/>
  <c r="AY106"/>
  <c r="AY104"/>
  <c r="AY102"/>
  <c r="S144"/>
  <c r="AY119"/>
  <c r="AY117"/>
  <c r="AY115"/>
  <c r="AY113"/>
  <c r="AY111"/>
  <c r="AY109"/>
  <c r="AY107"/>
  <c r="AY105"/>
  <c r="AY103"/>
  <c r="AU285"/>
  <c r="AV285"/>
  <c r="AW280"/>
  <c r="AX280" s="1"/>
  <c r="O280"/>
  <c r="R280"/>
  <c r="AU277"/>
  <c r="AV277" s="1"/>
  <c r="S146"/>
  <c r="S140"/>
  <c r="S133"/>
  <c r="T133" s="1"/>
  <c r="V133"/>
  <c r="S132"/>
  <c r="S131"/>
  <c r="S130"/>
  <c r="S129"/>
  <c r="S128"/>
  <c r="S127"/>
  <c r="S126"/>
  <c r="S125"/>
  <c r="S124"/>
  <c r="S123"/>
  <c r="S122"/>
  <c r="S121"/>
  <c r="S120"/>
  <c r="AY432"/>
  <c r="AY431"/>
  <c r="AY430"/>
  <c r="AY429"/>
  <c r="AY428"/>
  <c r="AY427"/>
  <c r="AY426"/>
  <c r="AY425"/>
  <c r="AY424"/>
  <c r="AY423"/>
  <c r="AY422"/>
  <c r="AY421"/>
  <c r="AY420"/>
  <c r="AY419"/>
  <c r="AY418"/>
  <c r="AY417"/>
  <c r="AY416"/>
  <c r="AY415"/>
  <c r="AY414"/>
  <c r="AY413"/>
  <c r="AY412"/>
  <c r="AY411"/>
  <c r="AZ432"/>
  <c r="AZ431"/>
  <c r="AZ430"/>
  <c r="AZ429"/>
  <c r="AZ428"/>
  <c r="AZ427"/>
  <c r="AZ426"/>
  <c r="AZ425"/>
  <c r="AZ424"/>
  <c r="AZ423"/>
  <c r="AZ422"/>
  <c r="AZ421"/>
  <c r="AZ420"/>
  <c r="AZ419"/>
  <c r="AZ418"/>
  <c r="AZ417"/>
  <c r="AZ415"/>
  <c r="AZ414"/>
  <c r="AZ413"/>
  <c r="AZ263"/>
  <c r="AZ261"/>
  <c r="AZ259"/>
  <c r="AZ257"/>
  <c r="AZ247"/>
  <c r="AZ245"/>
  <c r="AZ243"/>
  <c r="AZ241"/>
  <c r="AZ231"/>
  <c r="AZ229"/>
  <c r="AZ227"/>
  <c r="AZ225"/>
  <c r="AW277"/>
  <c r="AX277" s="1"/>
  <c r="AZ262"/>
  <c r="AZ260"/>
  <c r="AZ258"/>
  <c r="AZ256"/>
  <c r="AZ246"/>
  <c r="AZ244"/>
  <c r="AZ242"/>
  <c r="AZ240"/>
  <c r="AZ230"/>
  <c r="AZ228"/>
  <c r="AZ226"/>
  <c r="AZ224"/>
  <c r="AY684"/>
  <c r="G663"/>
  <c r="AI658"/>
  <c r="AL658" s="1"/>
  <c r="S658"/>
  <c r="V658" s="1"/>
  <c r="AZ658" s="1"/>
  <c r="AY263"/>
  <c r="AY261"/>
  <c r="AY259"/>
  <c r="AY257"/>
  <c r="AY101"/>
  <c r="AY99"/>
  <c r="AY97"/>
  <c r="AY95"/>
  <c r="AY93"/>
  <c r="S416"/>
  <c r="S412"/>
  <c r="S411"/>
  <c r="T411" s="1"/>
  <c r="V411"/>
  <c r="AZ411" s="1"/>
  <c r="S408"/>
  <c r="V408" s="1"/>
  <c r="S147"/>
  <c r="AZ684"/>
  <c r="AY567"/>
  <c r="AY264"/>
  <c r="AY262"/>
  <c r="AY260"/>
  <c r="AY258"/>
  <c r="AY245"/>
  <c r="AY241"/>
  <c r="AY229"/>
  <c r="AY225"/>
  <c r="AY247"/>
  <c r="AY243"/>
  <c r="AY231"/>
  <c r="AY227"/>
  <c r="AY100"/>
  <c r="AY98"/>
  <c r="AY96"/>
  <c r="AY94"/>
  <c r="AY92"/>
  <c r="AZ5"/>
  <c r="AY5"/>
  <c r="AZ721"/>
  <c r="AY721"/>
  <c r="AI660"/>
  <c r="AL660" s="1"/>
  <c r="S657"/>
  <c r="V657" s="1"/>
  <c r="AY246"/>
  <c r="AY242"/>
  <c r="AY230"/>
  <c r="AY226"/>
  <c r="S661"/>
  <c r="V661"/>
  <c r="I664"/>
  <c r="AC662"/>
  <c r="J663"/>
  <c r="AE656"/>
  <c r="AH656" s="1"/>
  <c r="AY656" s="1"/>
  <c r="S137"/>
  <c r="S135"/>
  <c r="T135" s="1"/>
  <c r="S138"/>
  <c r="S136"/>
  <c r="S134"/>
  <c r="V47"/>
  <c r="AZ694"/>
  <c r="AZ693"/>
  <c r="AZ695"/>
  <c r="AY695"/>
  <c r="AY694"/>
  <c r="AY693"/>
  <c r="AI663"/>
  <c r="AL663" s="1"/>
  <c r="AI661"/>
  <c r="AL661" s="1"/>
  <c r="AE661"/>
  <c r="AH661" s="1"/>
  <c r="O661"/>
  <c r="R661" s="1"/>
  <c r="AY244"/>
  <c r="AY228"/>
  <c r="V404" l="1"/>
  <c r="T404"/>
  <c r="AY433"/>
  <c r="V407"/>
  <c r="T407"/>
  <c r="V136"/>
  <c r="T136"/>
  <c r="V137"/>
  <c r="T137"/>
  <c r="V416"/>
  <c r="AZ416" s="1"/>
  <c r="T416"/>
  <c r="V120"/>
  <c r="T120"/>
  <c r="V122"/>
  <c r="T122"/>
  <c r="V124"/>
  <c r="T124"/>
  <c r="V126"/>
  <c r="T126"/>
  <c r="V128"/>
  <c r="T128"/>
  <c r="V130"/>
  <c r="T130"/>
  <c r="V132"/>
  <c r="T132"/>
  <c r="V146"/>
  <c r="T146"/>
  <c r="AH726"/>
  <c r="AF726"/>
  <c r="R726"/>
  <c r="P726"/>
  <c r="AH725"/>
  <c r="AF725"/>
  <c r="R725"/>
  <c r="P725"/>
  <c r="AH724"/>
  <c r="AF724"/>
  <c r="V720"/>
  <c r="T720"/>
  <c r="AL719"/>
  <c r="AJ719"/>
  <c r="V719"/>
  <c r="T719"/>
  <c r="AL718"/>
  <c r="AJ718"/>
  <c r="V718"/>
  <c r="T718"/>
  <c r="AH715"/>
  <c r="AF715"/>
  <c r="R715"/>
  <c r="AY715" s="1"/>
  <c r="P715"/>
  <c r="AH714"/>
  <c r="AF714"/>
  <c r="R714"/>
  <c r="AY714" s="1"/>
  <c r="P714"/>
  <c r="AH713"/>
  <c r="AF713"/>
  <c r="R713"/>
  <c r="AY713" s="1"/>
  <c r="P713"/>
  <c r="AH712"/>
  <c r="AF712"/>
  <c r="R712"/>
  <c r="AY712" s="1"/>
  <c r="P712"/>
  <c r="AH711"/>
  <c r="AF711"/>
  <c r="R711"/>
  <c r="AY711" s="1"/>
  <c r="P711"/>
  <c r="AH710"/>
  <c r="AF710"/>
  <c r="R710"/>
  <c r="P710"/>
  <c r="AH709"/>
  <c r="AF709"/>
  <c r="R709"/>
  <c r="P709"/>
  <c r="AH708"/>
  <c r="AF708"/>
  <c r="R708"/>
  <c r="P708"/>
  <c r="AH707"/>
  <c r="AF707"/>
  <c r="R707"/>
  <c r="P707"/>
  <c r="AH706"/>
  <c r="AF706"/>
  <c r="R706"/>
  <c r="P706"/>
  <c r="AH705"/>
  <c r="AF705"/>
  <c r="AH704"/>
  <c r="AY704" s="1"/>
  <c r="AF704"/>
  <c r="AL703"/>
  <c r="AJ703"/>
  <c r="AL702"/>
  <c r="AJ702"/>
  <c r="V702"/>
  <c r="T702"/>
  <c r="AL701"/>
  <c r="AJ701"/>
  <c r="AL700"/>
  <c r="AJ700"/>
  <c r="V700"/>
  <c r="T700"/>
  <c r="AL699"/>
  <c r="AJ699"/>
  <c r="V699"/>
  <c r="AZ699" s="1"/>
  <c r="T699"/>
  <c r="AL698"/>
  <c r="AJ698"/>
  <c r="V698"/>
  <c r="T698"/>
  <c r="AL697"/>
  <c r="AJ697"/>
  <c r="V697"/>
  <c r="T697"/>
  <c r="AL696"/>
  <c r="AJ696"/>
  <c r="V696"/>
  <c r="T696"/>
  <c r="R692"/>
  <c r="P692"/>
  <c r="AH691"/>
  <c r="AF691"/>
  <c r="R691"/>
  <c r="P691"/>
  <c r="AH690"/>
  <c r="AF690"/>
  <c r="R690"/>
  <c r="P690"/>
  <c r="AH689"/>
  <c r="AF689"/>
  <c r="V687"/>
  <c r="T687"/>
  <c r="AL686"/>
  <c r="AJ686"/>
  <c r="V686"/>
  <c r="T686"/>
  <c r="AL685"/>
  <c r="AJ685"/>
  <c r="V685"/>
  <c r="T685"/>
  <c r="AL682"/>
  <c r="AJ682"/>
  <c r="V682"/>
  <c r="AZ682" s="1"/>
  <c r="T682"/>
  <c r="AL681"/>
  <c r="AJ681"/>
  <c r="V681"/>
  <c r="AZ681" s="1"/>
  <c r="T681"/>
  <c r="AL680"/>
  <c r="AJ680"/>
  <c r="V680"/>
  <c r="AZ680" s="1"/>
  <c r="T680"/>
  <c r="AL679"/>
  <c r="AJ679"/>
  <c r="V679"/>
  <c r="AZ679" s="1"/>
  <c r="T679"/>
  <c r="AL678"/>
  <c r="AJ678"/>
  <c r="V678"/>
  <c r="AZ678" s="1"/>
  <c r="T678"/>
  <c r="AL677"/>
  <c r="AJ677"/>
  <c r="V677"/>
  <c r="AZ677" s="1"/>
  <c r="T677"/>
  <c r="AL676"/>
  <c r="AJ676"/>
  <c r="V676"/>
  <c r="AZ676" s="1"/>
  <c r="T676"/>
  <c r="AL675"/>
  <c r="AJ675"/>
  <c r="V675"/>
  <c r="AZ675" s="1"/>
  <c r="T675"/>
  <c r="AL674"/>
  <c r="AJ674"/>
  <c r="V674"/>
  <c r="AZ674" s="1"/>
  <c r="T674"/>
  <c r="AL673"/>
  <c r="AJ673"/>
  <c r="V673"/>
  <c r="AZ673" s="1"/>
  <c r="T673"/>
  <c r="AL672"/>
  <c r="AJ672"/>
  <c r="V672"/>
  <c r="AZ672" s="1"/>
  <c r="T672"/>
  <c r="AL671"/>
  <c r="AJ671"/>
  <c r="V671"/>
  <c r="AZ671" s="1"/>
  <c r="T671"/>
  <c r="AL670"/>
  <c r="AJ670"/>
  <c r="V670"/>
  <c r="AZ670" s="1"/>
  <c r="T670"/>
  <c r="AL669"/>
  <c r="AJ669"/>
  <c r="V669"/>
  <c r="AZ669" s="1"/>
  <c r="T669"/>
  <c r="AL668"/>
  <c r="AJ668"/>
  <c r="V668"/>
  <c r="AZ668" s="1"/>
  <c r="T668"/>
  <c r="AL667"/>
  <c r="AJ667"/>
  <c r="V667"/>
  <c r="AZ667" s="1"/>
  <c r="T667"/>
  <c r="AL666"/>
  <c r="AJ666"/>
  <c r="V666"/>
  <c r="T666"/>
  <c r="AL665"/>
  <c r="AJ665"/>
  <c r="V665"/>
  <c r="AZ665" s="1"/>
  <c r="T665"/>
  <c r="Q664"/>
  <c r="P661"/>
  <c r="Q663"/>
  <c r="V653"/>
  <c r="T653"/>
  <c r="V652"/>
  <c r="T652"/>
  <c r="V651"/>
  <c r="T651"/>
  <c r="V650"/>
  <c r="T650"/>
  <c r="V649"/>
  <c r="T649"/>
  <c r="V648"/>
  <c r="AZ648" s="1"/>
  <c r="T648"/>
  <c r="V647"/>
  <c r="T647"/>
  <c r="V646"/>
  <c r="T646"/>
  <c r="V645"/>
  <c r="T645"/>
  <c r="V644"/>
  <c r="T644"/>
  <c r="V643"/>
  <c r="T643"/>
  <c r="V642"/>
  <c r="T642"/>
  <c r="V641"/>
  <c r="T641"/>
  <c r="V640"/>
  <c r="T640"/>
  <c r="V639"/>
  <c r="T639"/>
  <c r="V638"/>
  <c r="T638"/>
  <c r="V637"/>
  <c r="T637"/>
  <c r="V636"/>
  <c r="T636"/>
  <c r="V635"/>
  <c r="T635"/>
  <c r="V634"/>
  <c r="AZ634" s="1"/>
  <c r="T634"/>
  <c r="V633"/>
  <c r="T633"/>
  <c r="V632"/>
  <c r="T632"/>
  <c r="V631"/>
  <c r="T631"/>
  <c r="V630"/>
  <c r="T630"/>
  <c r="V629"/>
  <c r="T629"/>
  <c r="V628"/>
  <c r="T628"/>
  <c r="V627"/>
  <c r="T627"/>
  <c r="V626"/>
  <c r="T626"/>
  <c r="V625"/>
  <c r="T625"/>
  <c r="V624"/>
  <c r="T624"/>
  <c r="V623"/>
  <c r="T623"/>
  <c r="V622"/>
  <c r="T622"/>
  <c r="V621"/>
  <c r="AZ621" s="1"/>
  <c r="T621"/>
  <c r="V620"/>
  <c r="T620"/>
  <c r="V619"/>
  <c r="T619"/>
  <c r="V618"/>
  <c r="T618"/>
  <c r="V617"/>
  <c r="T617"/>
  <c r="V616"/>
  <c r="AZ616" s="1"/>
  <c r="T616"/>
  <c r="V615"/>
  <c r="T615"/>
  <c r="V614"/>
  <c r="T614"/>
  <c r="V613"/>
  <c r="T613"/>
  <c r="V612"/>
  <c r="T612"/>
  <c r="V611"/>
  <c r="T611"/>
  <c r="V610"/>
  <c r="T610"/>
  <c r="V609"/>
  <c r="T609"/>
  <c r="V608"/>
  <c r="T608"/>
  <c r="V607"/>
  <c r="T607"/>
  <c r="V606"/>
  <c r="T606"/>
  <c r="V605"/>
  <c r="T605"/>
  <c r="V604"/>
  <c r="T604"/>
  <c r="V603"/>
  <c r="T603"/>
  <c r="V602"/>
  <c r="AZ602" s="1"/>
  <c r="T602"/>
  <c r="V601"/>
  <c r="T601"/>
  <c r="V600"/>
  <c r="T600"/>
  <c r="V599"/>
  <c r="T599"/>
  <c r="V598"/>
  <c r="T598"/>
  <c r="V597"/>
  <c r="T597"/>
  <c r="V596"/>
  <c r="T596"/>
  <c r="V595"/>
  <c r="T595"/>
  <c r="V594"/>
  <c r="T594"/>
  <c r="V593"/>
  <c r="T593"/>
  <c r="V592"/>
  <c r="T592"/>
  <c r="V591"/>
  <c r="T591"/>
  <c r="V590"/>
  <c r="T590"/>
  <c r="V589"/>
  <c r="T589"/>
  <c r="V588"/>
  <c r="T588"/>
  <c r="AL587"/>
  <c r="AJ587"/>
  <c r="V587"/>
  <c r="T587"/>
  <c r="AL586"/>
  <c r="AJ586"/>
  <c r="V586"/>
  <c r="AZ586" s="1"/>
  <c r="T586"/>
  <c r="AL585"/>
  <c r="AJ585"/>
  <c r="V585"/>
  <c r="AZ585" s="1"/>
  <c r="T585"/>
  <c r="AL584"/>
  <c r="AJ584"/>
  <c r="V584"/>
  <c r="AZ584" s="1"/>
  <c r="T584"/>
  <c r="AL583"/>
  <c r="AJ583"/>
  <c r="V583"/>
  <c r="AZ583" s="1"/>
  <c r="T583"/>
  <c r="AL582"/>
  <c r="AJ582"/>
  <c r="V582"/>
  <c r="T582"/>
  <c r="AL581"/>
  <c r="AJ581"/>
  <c r="V581"/>
  <c r="T581"/>
  <c r="AL580"/>
  <c r="AJ580"/>
  <c r="V580"/>
  <c r="T580"/>
  <c r="AL579"/>
  <c r="AJ579"/>
  <c r="V579"/>
  <c r="T579"/>
  <c r="AH578"/>
  <c r="AF578"/>
  <c r="R578"/>
  <c r="AY578" s="1"/>
  <c r="P578"/>
  <c r="AH577"/>
  <c r="AF577"/>
  <c r="R577"/>
  <c r="AY577" s="1"/>
  <c r="P577"/>
  <c r="AH576"/>
  <c r="AF576"/>
  <c r="R576"/>
  <c r="AY576" s="1"/>
  <c r="P576"/>
  <c r="AH575"/>
  <c r="AF575"/>
  <c r="R575"/>
  <c r="AY575" s="1"/>
  <c r="P575"/>
  <c r="AH574"/>
  <c r="AF574"/>
  <c r="R574"/>
  <c r="AY574" s="1"/>
  <c r="P574"/>
  <c r="AH573"/>
  <c r="AF573"/>
  <c r="R573"/>
  <c r="AY573" s="1"/>
  <c r="P573"/>
  <c r="AH572"/>
  <c r="AF572"/>
  <c r="R572"/>
  <c r="AY572" s="1"/>
  <c r="P572"/>
  <c r="AL566"/>
  <c r="AJ566"/>
  <c r="V566"/>
  <c r="AZ566" s="1"/>
  <c r="T566"/>
  <c r="AL565"/>
  <c r="AJ565"/>
  <c r="V565"/>
  <c r="AZ565" s="1"/>
  <c r="T565"/>
  <c r="AL564"/>
  <c r="AJ564"/>
  <c r="V564"/>
  <c r="AZ564" s="1"/>
  <c r="T564"/>
  <c r="AL563"/>
  <c r="AJ563"/>
  <c r="V563"/>
  <c r="AZ563" s="1"/>
  <c r="T563"/>
  <c r="AL562"/>
  <c r="AJ562"/>
  <c r="V562"/>
  <c r="AZ562" s="1"/>
  <c r="T562"/>
  <c r="AL561"/>
  <c r="AJ561"/>
  <c r="V561"/>
  <c r="AZ561" s="1"/>
  <c r="T561"/>
  <c r="AL560"/>
  <c r="AJ560"/>
  <c r="V560"/>
  <c r="AZ560" s="1"/>
  <c r="T560"/>
  <c r="AL559"/>
  <c r="AJ559"/>
  <c r="V559"/>
  <c r="AZ559" s="1"/>
  <c r="T559"/>
  <c r="AL558"/>
  <c r="AJ558"/>
  <c r="V558"/>
  <c r="T558"/>
  <c r="AL557"/>
  <c r="AJ557"/>
  <c r="V557"/>
  <c r="T557"/>
  <c r="AL556"/>
  <c r="AJ556"/>
  <c r="V556"/>
  <c r="T556"/>
  <c r="AL555"/>
  <c r="AJ555"/>
  <c r="V555"/>
  <c r="T555"/>
  <c r="AL554"/>
  <c r="AJ554"/>
  <c r="V554"/>
  <c r="T554"/>
  <c r="AL553"/>
  <c r="AJ553"/>
  <c r="V553"/>
  <c r="T553"/>
  <c r="V552"/>
  <c r="T552"/>
  <c r="V551"/>
  <c r="T551"/>
  <c r="R550"/>
  <c r="AY550" s="1"/>
  <c r="P550"/>
  <c r="R549"/>
  <c r="AY549" s="1"/>
  <c r="P549"/>
  <c r="R548"/>
  <c r="AY548" s="1"/>
  <c r="P548"/>
  <c r="R547"/>
  <c r="AY547" s="1"/>
  <c r="P547"/>
  <c r="R546"/>
  <c r="AY546" s="1"/>
  <c r="P546"/>
  <c r="R545"/>
  <c r="AY545" s="1"/>
  <c r="P545"/>
  <c r="R544"/>
  <c r="AY544" s="1"/>
  <c r="P544"/>
  <c r="R543"/>
  <c r="AY543" s="1"/>
  <c r="P543"/>
  <c r="R542"/>
  <c r="AY542" s="1"/>
  <c r="P542"/>
  <c r="R541"/>
  <c r="AY541" s="1"/>
  <c r="P541"/>
  <c r="R540"/>
  <c r="AY540" s="1"/>
  <c r="P540"/>
  <c r="R539"/>
  <c r="AY539" s="1"/>
  <c r="P539"/>
  <c r="R538"/>
  <c r="AY538" s="1"/>
  <c r="P538"/>
  <c r="R537"/>
  <c r="AY537" s="1"/>
  <c r="P537"/>
  <c r="R536"/>
  <c r="AY536" s="1"/>
  <c r="P536"/>
  <c r="R535"/>
  <c r="AY535" s="1"/>
  <c r="P535"/>
  <c r="R534"/>
  <c r="AY534" s="1"/>
  <c r="P534"/>
  <c r="R533"/>
  <c r="AY533" s="1"/>
  <c r="P533"/>
  <c r="R532"/>
  <c r="AY532" s="1"/>
  <c r="P532"/>
  <c r="R531"/>
  <c r="AY531" s="1"/>
  <c r="P531"/>
  <c r="R530"/>
  <c r="AY530" s="1"/>
  <c r="P530"/>
  <c r="R529"/>
  <c r="AY529" s="1"/>
  <c r="P529"/>
  <c r="R528"/>
  <c r="AY528" s="1"/>
  <c r="P528"/>
  <c r="R527"/>
  <c r="AY527" s="1"/>
  <c r="P527"/>
  <c r="R526"/>
  <c r="AY526" s="1"/>
  <c r="P526"/>
  <c r="AH525"/>
  <c r="AF525"/>
  <c r="R525"/>
  <c r="AY525" s="1"/>
  <c r="P525"/>
  <c r="AH524"/>
  <c r="AF524"/>
  <c r="R524"/>
  <c r="AY524" s="1"/>
  <c r="P524"/>
  <c r="AH523"/>
  <c r="AF523"/>
  <c r="R523"/>
  <c r="AY523" s="1"/>
  <c r="P523"/>
  <c r="AH522"/>
  <c r="AF522"/>
  <c r="R522"/>
  <c r="AY522" s="1"/>
  <c r="P522"/>
  <c r="AH521"/>
  <c r="AF521"/>
  <c r="R521"/>
  <c r="AY521" s="1"/>
  <c r="P521"/>
  <c r="AH520"/>
  <c r="AF520"/>
  <c r="R520"/>
  <c r="AY520" s="1"/>
  <c r="P520"/>
  <c r="AH519"/>
  <c r="AF519"/>
  <c r="R519"/>
  <c r="AY519" s="1"/>
  <c r="P519"/>
  <c r="AH518"/>
  <c r="AF518"/>
  <c r="R518"/>
  <c r="AY518" s="1"/>
  <c r="P518"/>
  <c r="AH517"/>
  <c r="AF517"/>
  <c r="R517"/>
  <c r="AY517" s="1"/>
  <c r="P517"/>
  <c r="AH516"/>
  <c r="AF516"/>
  <c r="R516"/>
  <c r="AY516" s="1"/>
  <c r="P516"/>
  <c r="AH515"/>
  <c r="AF515"/>
  <c r="R515"/>
  <c r="AY515" s="1"/>
  <c r="P515"/>
  <c r="AH514"/>
  <c r="AF514"/>
  <c r="R514"/>
  <c r="AY514" s="1"/>
  <c r="P514"/>
  <c r="AH513"/>
  <c r="AF513"/>
  <c r="R513"/>
  <c r="AY513" s="1"/>
  <c r="P513"/>
  <c r="AH512"/>
  <c r="AF512"/>
  <c r="R512"/>
  <c r="AY512" s="1"/>
  <c r="P512"/>
  <c r="AH511"/>
  <c r="AF511"/>
  <c r="R511"/>
  <c r="AY511" s="1"/>
  <c r="P511"/>
  <c r="AH510"/>
  <c r="AF510"/>
  <c r="R510"/>
  <c r="AY510" s="1"/>
  <c r="P510"/>
  <c r="AH509"/>
  <c r="AF509"/>
  <c r="R509"/>
  <c r="AY509" s="1"/>
  <c r="P509"/>
  <c r="AH508"/>
  <c r="AF508"/>
  <c r="R508"/>
  <c r="AY508" s="1"/>
  <c r="P508"/>
  <c r="AH507"/>
  <c r="AF507"/>
  <c r="R507"/>
  <c r="AY507" s="1"/>
  <c r="P507"/>
  <c r="AH506"/>
  <c r="AF506"/>
  <c r="R506"/>
  <c r="AY506" s="1"/>
  <c r="P506"/>
  <c r="AH505"/>
  <c r="AF505"/>
  <c r="R505"/>
  <c r="AY505" s="1"/>
  <c r="P505"/>
  <c r="AH504"/>
  <c r="AF504"/>
  <c r="AL503"/>
  <c r="AJ503"/>
  <c r="V503"/>
  <c r="T503"/>
  <c r="AL502"/>
  <c r="AJ502"/>
  <c r="V502"/>
  <c r="T502"/>
  <c r="AL501"/>
  <c r="AJ501"/>
  <c r="V501"/>
  <c r="T501"/>
  <c r="AL500"/>
  <c r="AJ500"/>
  <c r="V500"/>
  <c r="T500"/>
  <c r="AL499"/>
  <c r="AJ499"/>
  <c r="V499"/>
  <c r="T499"/>
  <c r="AL498"/>
  <c r="AJ498"/>
  <c r="V498"/>
  <c r="T498"/>
  <c r="AL497"/>
  <c r="AJ497"/>
  <c r="V497"/>
  <c r="T497"/>
  <c r="AL496"/>
  <c r="AJ496"/>
  <c r="V496"/>
  <c r="T496"/>
  <c r="AL495"/>
  <c r="AJ495"/>
  <c r="V495"/>
  <c r="T495"/>
  <c r="AL494"/>
  <c r="AJ494"/>
  <c r="V494"/>
  <c r="T494"/>
  <c r="AL493"/>
  <c r="AJ493"/>
  <c r="V493"/>
  <c r="T493"/>
  <c r="AL492"/>
  <c r="AJ492"/>
  <c r="V492"/>
  <c r="T492"/>
  <c r="AL491"/>
  <c r="AJ491"/>
  <c r="V491"/>
  <c r="T491"/>
  <c r="AL490"/>
  <c r="AJ490"/>
  <c r="V490"/>
  <c r="T490"/>
  <c r="AL489"/>
  <c r="AJ489"/>
  <c r="V489"/>
  <c r="T489"/>
  <c r="AL488"/>
  <c r="AJ488"/>
  <c r="V488"/>
  <c r="T488"/>
  <c r="AL487"/>
  <c r="AJ487"/>
  <c r="V487"/>
  <c r="T487"/>
  <c r="AL486"/>
  <c r="AJ486"/>
  <c r="V486"/>
  <c r="T486"/>
  <c r="AL485"/>
  <c r="AJ485"/>
  <c r="V485"/>
  <c r="T485"/>
  <c r="AL484"/>
  <c r="AJ484"/>
  <c r="V484"/>
  <c r="T484"/>
  <c r="AL483"/>
  <c r="AJ483"/>
  <c r="V483"/>
  <c r="T483"/>
  <c r="AL482"/>
  <c r="AJ482"/>
  <c r="V482"/>
  <c r="T482"/>
  <c r="AL481"/>
  <c r="AJ481"/>
  <c r="V481"/>
  <c r="T481"/>
  <c r="AL480"/>
  <c r="AJ480"/>
  <c r="V480"/>
  <c r="T480"/>
  <c r="AL479"/>
  <c r="AJ479"/>
  <c r="V479"/>
  <c r="T479"/>
  <c r="AL478"/>
  <c r="AJ478"/>
  <c r="V478"/>
  <c r="T478"/>
  <c r="AL477"/>
  <c r="AJ477"/>
  <c r="V477"/>
  <c r="T477"/>
  <c r="AL476"/>
  <c r="AJ476"/>
  <c r="V476"/>
  <c r="T476"/>
  <c r="AL475"/>
  <c r="AJ475"/>
  <c r="V475"/>
  <c r="T475"/>
  <c r="AL474"/>
  <c r="AJ474"/>
  <c r="V474"/>
  <c r="T474"/>
  <c r="AL473"/>
  <c r="AJ473"/>
  <c r="V473"/>
  <c r="T473"/>
  <c r="AL472"/>
  <c r="AJ472"/>
  <c r="V472"/>
  <c r="T472"/>
  <c r="V471"/>
  <c r="T471"/>
  <c r="V470"/>
  <c r="T470"/>
  <c r="V469"/>
  <c r="T469"/>
  <c r="V468"/>
  <c r="T468"/>
  <c r="V467"/>
  <c r="T467"/>
  <c r="V466"/>
  <c r="T466"/>
  <c r="V465"/>
  <c r="T465"/>
  <c r="V464"/>
  <c r="T464"/>
  <c r="V463"/>
  <c r="T463"/>
  <c r="V462"/>
  <c r="T462"/>
  <c r="V461"/>
  <c r="T461"/>
  <c r="V460"/>
  <c r="T460"/>
  <c r="V459"/>
  <c r="T459"/>
  <c r="V458"/>
  <c r="T458"/>
  <c r="V457"/>
  <c r="T457"/>
  <c r="V456"/>
  <c r="T456"/>
  <c r="V455"/>
  <c r="T455"/>
  <c r="V454"/>
  <c r="T454"/>
  <c r="V453"/>
  <c r="T453"/>
  <c r="V452"/>
  <c r="T452"/>
  <c r="V451"/>
  <c r="T451"/>
  <c r="V450"/>
  <c r="T450"/>
  <c r="V449"/>
  <c r="T449"/>
  <c r="V448"/>
  <c r="T448"/>
  <c r="V447"/>
  <c r="T447"/>
  <c r="V446"/>
  <c r="T446"/>
  <c r="V445"/>
  <c r="T445"/>
  <c r="V444"/>
  <c r="T444"/>
  <c r="V443"/>
  <c r="T443"/>
  <c r="V442"/>
  <c r="T442"/>
  <c r="V441"/>
  <c r="T441"/>
  <c r="V440"/>
  <c r="T440"/>
  <c r="V439"/>
  <c r="T439"/>
  <c r="V438"/>
  <c r="T438"/>
  <c r="AH410"/>
  <c r="AF410"/>
  <c r="AL409"/>
  <c r="AJ409"/>
  <c r="R409"/>
  <c r="P409"/>
  <c r="AL407"/>
  <c r="AJ407"/>
  <c r="R407"/>
  <c r="P407"/>
  <c r="AL406"/>
  <c r="AJ406"/>
  <c r="R406"/>
  <c r="P406"/>
  <c r="AL405"/>
  <c r="AJ405"/>
  <c r="R405"/>
  <c r="P405"/>
  <c r="AL404"/>
  <c r="AJ404"/>
  <c r="R404"/>
  <c r="P404"/>
  <c r="AL403"/>
  <c r="AJ403"/>
  <c r="R403"/>
  <c r="P403"/>
  <c r="AH402"/>
  <c r="AF402"/>
  <c r="V402"/>
  <c r="T402"/>
  <c r="AL401"/>
  <c r="AJ401"/>
  <c r="R401"/>
  <c r="P401"/>
  <c r="AL400"/>
  <c r="AJ400"/>
  <c r="R400"/>
  <c r="P400"/>
  <c r="AH399"/>
  <c r="AF399"/>
  <c r="AL398"/>
  <c r="AJ398"/>
  <c r="V398"/>
  <c r="T398"/>
  <c r="AL397"/>
  <c r="AJ397"/>
  <c r="V397"/>
  <c r="T397"/>
  <c r="AL396"/>
  <c r="AJ396"/>
  <c r="V396"/>
  <c r="T396"/>
  <c r="AL395"/>
  <c r="AJ395"/>
  <c r="V395"/>
  <c r="T395"/>
  <c r="AL394"/>
  <c r="AJ394"/>
  <c r="V394"/>
  <c r="T394"/>
  <c r="AL393"/>
  <c r="AJ393"/>
  <c r="V393"/>
  <c r="T393"/>
  <c r="AL392"/>
  <c r="AJ392"/>
  <c r="V392"/>
  <c r="T392"/>
  <c r="AL391"/>
  <c r="AJ391"/>
  <c r="V391"/>
  <c r="T391"/>
  <c r="AL390"/>
  <c r="AJ390"/>
  <c r="V390"/>
  <c r="T390"/>
  <c r="AL389"/>
  <c r="AJ389"/>
  <c r="V389"/>
  <c r="T389"/>
  <c r="AL388"/>
  <c r="AJ388"/>
  <c r="V388"/>
  <c r="T388"/>
  <c r="AL387"/>
  <c r="AJ387"/>
  <c r="V387"/>
  <c r="T387"/>
  <c r="AL386"/>
  <c r="AJ386"/>
  <c r="V386"/>
  <c r="T386"/>
  <c r="AL385"/>
  <c r="AJ385"/>
  <c r="V385"/>
  <c r="AZ385" s="1"/>
  <c r="T385"/>
  <c r="AL384"/>
  <c r="AJ384"/>
  <c r="V384"/>
  <c r="T384"/>
  <c r="AL383"/>
  <c r="AJ383"/>
  <c r="V383"/>
  <c r="T383"/>
  <c r="AL382"/>
  <c r="AJ382"/>
  <c r="V382"/>
  <c r="T382"/>
  <c r="AL381"/>
  <c r="AJ381"/>
  <c r="V381"/>
  <c r="T381"/>
  <c r="AL380"/>
  <c r="AJ380"/>
  <c r="V380"/>
  <c r="T380"/>
  <c r="AL379"/>
  <c r="AJ379"/>
  <c r="V379"/>
  <c r="T379"/>
  <c r="AL378"/>
  <c r="AJ378"/>
  <c r="V378"/>
  <c r="T378"/>
  <c r="AL377"/>
  <c r="AJ377"/>
  <c r="V377"/>
  <c r="T377"/>
  <c r="AL376"/>
  <c r="AJ376"/>
  <c r="V376"/>
  <c r="T376"/>
  <c r="AL375"/>
  <c r="AJ375"/>
  <c r="V375"/>
  <c r="AZ375" s="1"/>
  <c r="T375"/>
  <c r="AL374"/>
  <c r="AJ374"/>
  <c r="V374"/>
  <c r="T374"/>
  <c r="AL373"/>
  <c r="AJ373"/>
  <c r="V373"/>
  <c r="T373"/>
  <c r="AL372"/>
  <c r="AJ372"/>
  <c r="V372"/>
  <c r="T372"/>
  <c r="AL371"/>
  <c r="AJ371"/>
  <c r="V371"/>
  <c r="T371"/>
  <c r="AL370"/>
  <c r="AJ370"/>
  <c r="V370"/>
  <c r="AZ370" s="1"/>
  <c r="T370"/>
  <c r="AL369"/>
  <c r="AJ369"/>
  <c r="V369"/>
  <c r="T369"/>
  <c r="AL368"/>
  <c r="AJ368"/>
  <c r="V368"/>
  <c r="T368"/>
  <c r="AL367"/>
  <c r="AJ367"/>
  <c r="V367"/>
  <c r="T367"/>
  <c r="AL366"/>
  <c r="AJ366"/>
  <c r="V366"/>
  <c r="T366"/>
  <c r="AL365"/>
  <c r="AJ365"/>
  <c r="V365"/>
  <c r="T365"/>
  <c r="AL364"/>
  <c r="AJ364"/>
  <c r="V364"/>
  <c r="AZ364" s="1"/>
  <c r="T364"/>
  <c r="AL363"/>
  <c r="AJ363"/>
  <c r="V363"/>
  <c r="AZ363" s="1"/>
  <c r="T363"/>
  <c r="AL362"/>
  <c r="AJ362"/>
  <c r="V362"/>
  <c r="AZ362" s="1"/>
  <c r="T362"/>
  <c r="AL361"/>
  <c r="AJ361"/>
  <c r="V361"/>
  <c r="AZ361" s="1"/>
  <c r="T361"/>
  <c r="AL360"/>
  <c r="AJ360"/>
  <c r="V135"/>
  <c r="AZ657"/>
  <c r="R724"/>
  <c r="AL723"/>
  <c r="AH723"/>
  <c r="V723"/>
  <c r="P704"/>
  <c r="V703"/>
  <c r="V701"/>
  <c r="R689"/>
  <c r="AL688"/>
  <c r="AH688"/>
  <c r="V688"/>
  <c r="AZ688" s="1"/>
  <c r="R688"/>
  <c r="AY688" s="1"/>
  <c r="AL687"/>
  <c r="AH687"/>
  <c r="AE664"/>
  <c r="AH664" s="1"/>
  <c r="AE659"/>
  <c r="AH659" s="1"/>
  <c r="K664"/>
  <c r="V437"/>
  <c r="AZ437" s="1"/>
  <c r="R437"/>
  <c r="AY437" s="1"/>
  <c r="V436"/>
  <c r="AZ436" s="1"/>
  <c r="R436"/>
  <c r="AY436" s="1"/>
  <c r="V435"/>
  <c r="AZ435" s="1"/>
  <c r="R435"/>
  <c r="AY435" s="1"/>
  <c r="V434"/>
  <c r="AZ434" s="1"/>
  <c r="R434"/>
  <c r="AY434" s="1"/>
  <c r="V433"/>
  <c r="AZ433" s="1"/>
  <c r="V134"/>
  <c r="T134"/>
  <c r="V138"/>
  <c r="T138"/>
  <c r="V147"/>
  <c r="T147"/>
  <c r="V412"/>
  <c r="AZ412" s="1"/>
  <c r="T412"/>
  <c r="V121"/>
  <c r="T121"/>
  <c r="V123"/>
  <c r="T123"/>
  <c r="V125"/>
  <c r="T125"/>
  <c r="V127"/>
  <c r="T127"/>
  <c r="V129"/>
  <c r="T129"/>
  <c r="V131"/>
  <c r="T131"/>
  <c r="V140"/>
  <c r="T140"/>
  <c r="V144"/>
  <c r="T144"/>
  <c r="AL726"/>
  <c r="AJ726"/>
  <c r="V726"/>
  <c r="T726"/>
  <c r="AL725"/>
  <c r="AJ725"/>
  <c r="V725"/>
  <c r="T725"/>
  <c r="AL724"/>
  <c r="AJ724"/>
  <c r="V724"/>
  <c r="T724"/>
  <c r="R720"/>
  <c r="P720"/>
  <c r="AH719"/>
  <c r="AF719"/>
  <c r="R719"/>
  <c r="P719"/>
  <c r="AH718"/>
  <c r="AF718"/>
  <c r="AL715"/>
  <c r="AJ715"/>
  <c r="AL714"/>
  <c r="AJ714"/>
  <c r="V714"/>
  <c r="T714"/>
  <c r="AL713"/>
  <c r="AJ713"/>
  <c r="V713"/>
  <c r="AZ713" s="1"/>
  <c r="T713"/>
  <c r="AL712"/>
  <c r="AJ712"/>
  <c r="V712"/>
  <c r="T712"/>
  <c r="AL711"/>
  <c r="AJ711"/>
  <c r="V711"/>
  <c r="T711"/>
  <c r="AL710"/>
  <c r="AJ710"/>
  <c r="V710"/>
  <c r="T710"/>
  <c r="AL709"/>
  <c r="AJ709"/>
  <c r="V709"/>
  <c r="T709"/>
  <c r="AL708"/>
  <c r="AJ708"/>
  <c r="V708"/>
  <c r="T708"/>
  <c r="AL707"/>
  <c r="AJ707"/>
  <c r="V707"/>
  <c r="T707"/>
  <c r="AL706"/>
  <c r="AJ706"/>
  <c r="V706"/>
  <c r="T706"/>
  <c r="AL705"/>
  <c r="AZ705" s="1"/>
  <c r="AJ705"/>
  <c r="AL704"/>
  <c r="AJ704"/>
  <c r="AH703"/>
  <c r="AF703"/>
  <c r="R703"/>
  <c r="AY703" s="1"/>
  <c r="P703"/>
  <c r="AH702"/>
  <c r="AF702"/>
  <c r="R702"/>
  <c r="AY702" s="1"/>
  <c r="P702"/>
  <c r="AH701"/>
  <c r="AF701"/>
  <c r="R701"/>
  <c r="AY701" s="1"/>
  <c r="P701"/>
  <c r="AH700"/>
  <c r="AF700"/>
  <c r="R700"/>
  <c r="AY700" s="1"/>
  <c r="P700"/>
  <c r="AH699"/>
  <c r="AF699"/>
  <c r="R699"/>
  <c r="P699"/>
  <c r="AH698"/>
  <c r="AF698"/>
  <c r="R698"/>
  <c r="P698"/>
  <c r="AH697"/>
  <c r="AF697"/>
  <c r="R697"/>
  <c r="P697"/>
  <c r="AH696"/>
  <c r="AF696"/>
  <c r="V692"/>
  <c r="T692"/>
  <c r="AL691"/>
  <c r="AJ691"/>
  <c r="V691"/>
  <c r="T691"/>
  <c r="AL690"/>
  <c r="AJ690"/>
  <c r="V690"/>
  <c r="T690"/>
  <c r="AL689"/>
  <c r="AJ689"/>
  <c r="V689"/>
  <c r="T689"/>
  <c r="R687"/>
  <c r="P687"/>
  <c r="AH686"/>
  <c r="AF686"/>
  <c r="R686"/>
  <c r="P686"/>
  <c r="AH685"/>
  <c r="AF685"/>
  <c r="R683"/>
  <c r="P683"/>
  <c r="AH682"/>
  <c r="AF682"/>
  <c r="R682"/>
  <c r="P682"/>
  <c r="AH681"/>
  <c r="AF681"/>
  <c r="R681"/>
  <c r="AY681" s="1"/>
  <c r="P681"/>
  <c r="AH680"/>
  <c r="AF680"/>
  <c r="R680"/>
  <c r="P680"/>
  <c r="AH679"/>
  <c r="AF679"/>
  <c r="R679"/>
  <c r="AY679" s="1"/>
  <c r="P679"/>
  <c r="AH678"/>
  <c r="AF678"/>
  <c r="R678"/>
  <c r="P678"/>
  <c r="AH677"/>
  <c r="AF677"/>
  <c r="R677"/>
  <c r="AY677" s="1"/>
  <c r="P677"/>
  <c r="AH676"/>
  <c r="AF676"/>
  <c r="R676"/>
  <c r="P676"/>
  <c r="AH675"/>
  <c r="AF675"/>
  <c r="R675"/>
  <c r="AY675" s="1"/>
  <c r="P675"/>
  <c r="AH674"/>
  <c r="AF674"/>
  <c r="R674"/>
  <c r="P674"/>
  <c r="AH673"/>
  <c r="AF673"/>
  <c r="R673"/>
  <c r="AY673" s="1"/>
  <c r="P673"/>
  <c r="AH672"/>
  <c r="AF672"/>
  <c r="R672"/>
  <c r="P672"/>
  <c r="AH671"/>
  <c r="AF671"/>
  <c r="R671"/>
  <c r="AY671" s="1"/>
  <c r="P671"/>
  <c r="AH670"/>
  <c r="AF670"/>
  <c r="R670"/>
  <c r="P670"/>
  <c r="AH669"/>
  <c r="AF669"/>
  <c r="R669"/>
  <c r="AY669" s="1"/>
  <c r="P669"/>
  <c r="AH668"/>
  <c r="AF668"/>
  <c r="R668"/>
  <c r="P668"/>
  <c r="AH667"/>
  <c r="AF667"/>
  <c r="R667"/>
  <c r="AY667" s="1"/>
  <c r="P667"/>
  <c r="AH666"/>
  <c r="AF666"/>
  <c r="R666"/>
  <c r="P666"/>
  <c r="AH665"/>
  <c r="AF665"/>
  <c r="R665"/>
  <c r="P665"/>
  <c r="U664"/>
  <c r="T661"/>
  <c r="Q662"/>
  <c r="U663"/>
  <c r="T658"/>
  <c r="R654"/>
  <c r="P654"/>
  <c r="R653"/>
  <c r="AY653" s="1"/>
  <c r="P653"/>
  <c r="R652"/>
  <c r="AY652" s="1"/>
  <c r="P652"/>
  <c r="R651"/>
  <c r="AY651" s="1"/>
  <c r="P651"/>
  <c r="R650"/>
  <c r="AY650" s="1"/>
  <c r="P650"/>
  <c r="R649"/>
  <c r="AY649" s="1"/>
  <c r="P649"/>
  <c r="R648"/>
  <c r="AY648" s="1"/>
  <c r="P648"/>
  <c r="R647"/>
  <c r="AY647" s="1"/>
  <c r="P647"/>
  <c r="R646"/>
  <c r="AY646" s="1"/>
  <c r="P646"/>
  <c r="R645"/>
  <c r="AY645" s="1"/>
  <c r="P645"/>
  <c r="R644"/>
  <c r="AY644" s="1"/>
  <c r="P644"/>
  <c r="R643"/>
  <c r="AY643" s="1"/>
  <c r="P643"/>
  <c r="R642"/>
  <c r="AY642" s="1"/>
  <c r="P642"/>
  <c r="R641"/>
  <c r="AY641" s="1"/>
  <c r="P641"/>
  <c r="R640"/>
  <c r="AY640" s="1"/>
  <c r="P640"/>
  <c r="R639"/>
  <c r="AY639" s="1"/>
  <c r="P639"/>
  <c r="R638"/>
  <c r="AY638" s="1"/>
  <c r="P638"/>
  <c r="R637"/>
  <c r="AY637" s="1"/>
  <c r="P637"/>
  <c r="R636"/>
  <c r="AY636" s="1"/>
  <c r="P636"/>
  <c r="R635"/>
  <c r="AY635" s="1"/>
  <c r="P635"/>
  <c r="R634"/>
  <c r="AY634" s="1"/>
  <c r="P634"/>
  <c r="R633"/>
  <c r="AY633" s="1"/>
  <c r="P633"/>
  <c r="R632"/>
  <c r="AY632" s="1"/>
  <c r="P632"/>
  <c r="R631"/>
  <c r="AY631" s="1"/>
  <c r="P631"/>
  <c r="R630"/>
  <c r="AY630" s="1"/>
  <c r="P630"/>
  <c r="R629"/>
  <c r="AY629" s="1"/>
  <c r="P629"/>
  <c r="R628"/>
  <c r="AY628" s="1"/>
  <c r="P628"/>
  <c r="R627"/>
  <c r="AY627" s="1"/>
  <c r="P627"/>
  <c r="R626"/>
  <c r="AY626" s="1"/>
  <c r="P626"/>
  <c r="R625"/>
  <c r="AY625" s="1"/>
  <c r="P625"/>
  <c r="R624"/>
  <c r="AY624" s="1"/>
  <c r="P624"/>
  <c r="R623"/>
  <c r="AY623" s="1"/>
  <c r="P623"/>
  <c r="R622"/>
  <c r="AY622" s="1"/>
  <c r="P622"/>
  <c r="R621"/>
  <c r="AY621" s="1"/>
  <c r="P621"/>
  <c r="R620"/>
  <c r="AY620" s="1"/>
  <c r="P620"/>
  <c r="R619"/>
  <c r="AY619" s="1"/>
  <c r="P619"/>
  <c r="R618"/>
  <c r="AY618" s="1"/>
  <c r="P618"/>
  <c r="R617"/>
  <c r="AY617" s="1"/>
  <c r="P617"/>
  <c r="R616"/>
  <c r="AY616" s="1"/>
  <c r="P616"/>
  <c r="R615"/>
  <c r="AY615" s="1"/>
  <c r="P615"/>
  <c r="R614"/>
  <c r="AY614" s="1"/>
  <c r="P614"/>
  <c r="R613"/>
  <c r="AY613" s="1"/>
  <c r="P613"/>
  <c r="R612"/>
  <c r="AY612" s="1"/>
  <c r="P612"/>
  <c r="R611"/>
  <c r="AY611" s="1"/>
  <c r="P611"/>
  <c r="R610"/>
  <c r="AY610" s="1"/>
  <c r="P610"/>
  <c r="R609"/>
  <c r="AY609" s="1"/>
  <c r="P609"/>
  <c r="R608"/>
  <c r="AY608" s="1"/>
  <c r="P608"/>
  <c r="R607"/>
  <c r="AY607" s="1"/>
  <c r="P607"/>
  <c r="R606"/>
  <c r="AY606" s="1"/>
  <c r="P606"/>
  <c r="R605"/>
  <c r="AY605" s="1"/>
  <c r="P605"/>
  <c r="R604"/>
  <c r="AY604" s="1"/>
  <c r="P604"/>
  <c r="R603"/>
  <c r="AY603" s="1"/>
  <c r="P603"/>
  <c r="R602"/>
  <c r="AY602" s="1"/>
  <c r="P602"/>
  <c r="R601"/>
  <c r="AY601" s="1"/>
  <c r="P601"/>
  <c r="R600"/>
  <c r="AY600" s="1"/>
  <c r="P600"/>
  <c r="R599"/>
  <c r="AY599" s="1"/>
  <c r="P599"/>
  <c r="R598"/>
  <c r="AY598" s="1"/>
  <c r="P598"/>
  <c r="R597"/>
  <c r="AY597" s="1"/>
  <c r="P597"/>
  <c r="R596"/>
  <c r="AY596" s="1"/>
  <c r="P596"/>
  <c r="R595"/>
  <c r="AY595" s="1"/>
  <c r="P595"/>
  <c r="R594"/>
  <c r="AY594" s="1"/>
  <c r="P594"/>
  <c r="R593"/>
  <c r="AY593" s="1"/>
  <c r="P593"/>
  <c r="R592"/>
  <c r="AY592" s="1"/>
  <c r="P592"/>
  <c r="R591"/>
  <c r="AY591" s="1"/>
  <c r="P591"/>
  <c r="R590"/>
  <c r="P590"/>
  <c r="R589"/>
  <c r="P589"/>
  <c r="R588"/>
  <c r="P588"/>
  <c r="AH587"/>
  <c r="AF587"/>
  <c r="R587"/>
  <c r="P587"/>
  <c r="AH586"/>
  <c r="AF586"/>
  <c r="R586"/>
  <c r="P586"/>
  <c r="AH585"/>
  <c r="AF585"/>
  <c r="R585"/>
  <c r="P585"/>
  <c r="AH584"/>
  <c r="AF584"/>
  <c r="R584"/>
  <c r="P584"/>
  <c r="AH583"/>
  <c r="AF583"/>
  <c r="R583"/>
  <c r="P583"/>
  <c r="AH582"/>
  <c r="AF582"/>
  <c r="R582"/>
  <c r="P582"/>
  <c r="AH581"/>
  <c r="AF581"/>
  <c r="R581"/>
  <c r="P581"/>
  <c r="AH580"/>
  <c r="AF580"/>
  <c r="R580"/>
  <c r="P580"/>
  <c r="AH579"/>
  <c r="AF579"/>
  <c r="R579"/>
  <c r="P579"/>
  <c r="AL578"/>
  <c r="AJ578"/>
  <c r="V578"/>
  <c r="AZ578" s="1"/>
  <c r="T578"/>
  <c r="AL577"/>
  <c r="AJ577"/>
  <c r="V577"/>
  <c r="T577"/>
  <c r="AL576"/>
  <c r="AJ576"/>
  <c r="V576"/>
  <c r="T576"/>
  <c r="AL575"/>
  <c r="AJ575"/>
  <c r="V575"/>
  <c r="T575"/>
  <c r="AL574"/>
  <c r="AJ574"/>
  <c r="V574"/>
  <c r="T574"/>
  <c r="AL573"/>
  <c r="AJ573"/>
  <c r="V573"/>
  <c r="T573"/>
  <c r="AL572"/>
  <c r="AJ572"/>
  <c r="V572"/>
  <c r="T572"/>
  <c r="AH566"/>
  <c r="AF566"/>
  <c r="R566"/>
  <c r="AY566" s="1"/>
  <c r="P566"/>
  <c r="AH565"/>
  <c r="AF565"/>
  <c r="R565"/>
  <c r="P565"/>
  <c r="AH564"/>
  <c r="AF564"/>
  <c r="R564"/>
  <c r="P564"/>
  <c r="AH563"/>
  <c r="AF563"/>
  <c r="R563"/>
  <c r="P563"/>
  <c r="AH562"/>
  <c r="AF562"/>
  <c r="R562"/>
  <c r="P562"/>
  <c r="AH561"/>
  <c r="AF561"/>
  <c r="R561"/>
  <c r="AY561" s="1"/>
  <c r="P561"/>
  <c r="AH560"/>
  <c r="AF560"/>
  <c r="R560"/>
  <c r="P560"/>
  <c r="AH559"/>
  <c r="AF559"/>
  <c r="R559"/>
  <c r="P559"/>
  <c r="AH558"/>
  <c r="AF558"/>
  <c r="R558"/>
  <c r="P558"/>
  <c r="AH557"/>
  <c r="AF557"/>
  <c r="R557"/>
  <c r="P557"/>
  <c r="AH556"/>
  <c r="AF556"/>
  <c r="R556"/>
  <c r="P556"/>
  <c r="AH555"/>
  <c r="AF555"/>
  <c r="R555"/>
  <c r="P555"/>
  <c r="AH554"/>
  <c r="AF554"/>
  <c r="R554"/>
  <c r="P554"/>
  <c r="AH553"/>
  <c r="AF553"/>
  <c r="R553"/>
  <c r="P553"/>
  <c r="R552"/>
  <c r="P552"/>
  <c r="R551"/>
  <c r="P551"/>
  <c r="V550"/>
  <c r="T550"/>
  <c r="V549"/>
  <c r="T549"/>
  <c r="V548"/>
  <c r="T548"/>
  <c r="V547"/>
  <c r="T547"/>
  <c r="V546"/>
  <c r="AZ546" s="1"/>
  <c r="T546"/>
  <c r="V545"/>
  <c r="AZ545" s="1"/>
  <c r="T545"/>
  <c r="V544"/>
  <c r="T544"/>
  <c r="V543"/>
  <c r="T543"/>
  <c r="V542"/>
  <c r="T542"/>
  <c r="V541"/>
  <c r="T541"/>
  <c r="V540"/>
  <c r="T540"/>
  <c r="V539"/>
  <c r="T539"/>
  <c r="V538"/>
  <c r="T538"/>
  <c r="V537"/>
  <c r="AZ537" s="1"/>
  <c r="T537"/>
  <c r="V536"/>
  <c r="T536"/>
  <c r="V535"/>
  <c r="T535"/>
  <c r="V534"/>
  <c r="T534"/>
  <c r="V533"/>
  <c r="T533"/>
  <c r="V532"/>
  <c r="T532"/>
  <c r="V531"/>
  <c r="T531"/>
  <c r="V530"/>
  <c r="T530"/>
  <c r="V529"/>
  <c r="AZ529" s="1"/>
  <c r="T529"/>
  <c r="V528"/>
  <c r="T528"/>
  <c r="V527"/>
  <c r="T527"/>
  <c r="V526"/>
  <c r="T526"/>
  <c r="AL525"/>
  <c r="AJ525"/>
  <c r="V525"/>
  <c r="T525"/>
  <c r="AL524"/>
  <c r="AJ524"/>
  <c r="V524"/>
  <c r="T524"/>
  <c r="AL523"/>
  <c r="AJ523"/>
  <c r="V523"/>
  <c r="T523"/>
  <c r="AL522"/>
  <c r="AJ522"/>
  <c r="V522"/>
  <c r="T522"/>
  <c r="AL521"/>
  <c r="AJ521"/>
  <c r="V521"/>
  <c r="AZ521" s="1"/>
  <c r="T521"/>
  <c r="AL520"/>
  <c r="AJ520"/>
  <c r="V520"/>
  <c r="T520"/>
  <c r="AL519"/>
  <c r="AJ519"/>
  <c r="V519"/>
  <c r="T519"/>
  <c r="AL518"/>
  <c r="AJ518"/>
  <c r="V518"/>
  <c r="T518"/>
  <c r="AL517"/>
  <c r="AJ517"/>
  <c r="V517"/>
  <c r="T517"/>
  <c r="AL516"/>
  <c r="AJ516"/>
  <c r="V516"/>
  <c r="T516"/>
  <c r="AL515"/>
  <c r="AJ515"/>
  <c r="V515"/>
  <c r="T515"/>
  <c r="AL514"/>
  <c r="AJ514"/>
  <c r="V514"/>
  <c r="T514"/>
  <c r="AL513"/>
  <c r="AJ513"/>
  <c r="V513"/>
  <c r="AZ513" s="1"/>
  <c r="T513"/>
  <c r="AL512"/>
  <c r="AJ512"/>
  <c r="V512"/>
  <c r="T512"/>
  <c r="AL511"/>
  <c r="AJ511"/>
  <c r="V511"/>
  <c r="T511"/>
  <c r="AL510"/>
  <c r="AJ510"/>
  <c r="V510"/>
  <c r="T510"/>
  <c r="AL509"/>
  <c r="AJ509"/>
  <c r="V509"/>
  <c r="T509"/>
  <c r="AL508"/>
  <c r="AJ508"/>
  <c r="V508"/>
  <c r="T508"/>
  <c r="AL507"/>
  <c r="AJ507"/>
  <c r="V507"/>
  <c r="T507"/>
  <c r="AL506"/>
  <c r="AJ506"/>
  <c r="V506"/>
  <c r="T506"/>
  <c r="AL505"/>
  <c r="AJ505"/>
  <c r="V505"/>
  <c r="AZ505" s="1"/>
  <c r="T505"/>
  <c r="AL504"/>
  <c r="AJ504"/>
  <c r="R504"/>
  <c r="AY504" s="1"/>
  <c r="P504"/>
  <c r="AH503"/>
  <c r="AF503"/>
  <c r="R503"/>
  <c r="P503"/>
  <c r="AH502"/>
  <c r="AF502"/>
  <c r="R502"/>
  <c r="P502"/>
  <c r="AH501"/>
  <c r="AF501"/>
  <c r="R501"/>
  <c r="P501"/>
  <c r="AH500"/>
  <c r="AF500"/>
  <c r="R500"/>
  <c r="P500"/>
  <c r="AH499"/>
  <c r="AF499"/>
  <c r="R499"/>
  <c r="P499"/>
  <c r="AH498"/>
  <c r="AF498"/>
  <c r="R498"/>
  <c r="P498"/>
  <c r="AH497"/>
  <c r="AF497"/>
  <c r="R497"/>
  <c r="P497"/>
  <c r="AH496"/>
  <c r="AF496"/>
  <c r="R496"/>
  <c r="P496"/>
  <c r="AH495"/>
  <c r="AF495"/>
  <c r="R495"/>
  <c r="P495"/>
  <c r="AH494"/>
  <c r="AF494"/>
  <c r="R494"/>
  <c r="P494"/>
  <c r="AH493"/>
  <c r="AF493"/>
  <c r="R493"/>
  <c r="P493"/>
  <c r="AH492"/>
  <c r="AF492"/>
  <c r="R492"/>
  <c r="P492"/>
  <c r="AH491"/>
  <c r="AF491"/>
  <c r="R491"/>
  <c r="P491"/>
  <c r="AH490"/>
  <c r="AF490"/>
  <c r="R490"/>
  <c r="P490"/>
  <c r="AH489"/>
  <c r="AF489"/>
  <c r="R489"/>
  <c r="P489"/>
  <c r="AH488"/>
  <c r="AF488"/>
  <c r="R488"/>
  <c r="P488"/>
  <c r="AH487"/>
  <c r="AF487"/>
  <c r="R487"/>
  <c r="P487"/>
  <c r="AH486"/>
  <c r="AF486"/>
  <c r="R486"/>
  <c r="P486"/>
  <c r="AH485"/>
  <c r="AF485"/>
  <c r="R485"/>
  <c r="P485"/>
  <c r="AH484"/>
  <c r="AF484"/>
  <c r="R484"/>
  <c r="P484"/>
  <c r="AH483"/>
  <c r="AF483"/>
  <c r="R483"/>
  <c r="P483"/>
  <c r="AH482"/>
  <c r="AF482"/>
  <c r="R482"/>
  <c r="P482"/>
  <c r="AH481"/>
  <c r="AF481"/>
  <c r="R481"/>
  <c r="P481"/>
  <c r="AH480"/>
  <c r="AF480"/>
  <c r="R480"/>
  <c r="P480"/>
  <c r="AH479"/>
  <c r="AF479"/>
  <c r="R479"/>
  <c r="P479"/>
  <c r="AH478"/>
  <c r="AF478"/>
  <c r="R478"/>
  <c r="P478"/>
  <c r="AH477"/>
  <c r="AF477"/>
  <c r="R477"/>
  <c r="P477"/>
  <c r="AH476"/>
  <c r="AF476"/>
  <c r="R476"/>
  <c r="P476"/>
  <c r="AH475"/>
  <c r="AF475"/>
  <c r="R475"/>
  <c r="P475"/>
  <c r="AH474"/>
  <c r="AF474"/>
  <c r="R474"/>
  <c r="P474"/>
  <c r="AH473"/>
  <c r="AF473"/>
  <c r="R473"/>
  <c r="P473"/>
  <c r="AH472"/>
  <c r="AF472"/>
  <c r="R472"/>
  <c r="P472"/>
  <c r="R471"/>
  <c r="P471"/>
  <c r="R470"/>
  <c r="P470"/>
  <c r="R469"/>
  <c r="P469"/>
  <c r="R468"/>
  <c r="P468"/>
  <c r="R467"/>
  <c r="P467"/>
  <c r="R466"/>
  <c r="P466"/>
  <c r="R465"/>
  <c r="P465"/>
  <c r="R464"/>
  <c r="P464"/>
  <c r="R463"/>
  <c r="P463"/>
  <c r="R462"/>
  <c r="P462"/>
  <c r="R461"/>
  <c r="P461"/>
  <c r="R460"/>
  <c r="P460"/>
  <c r="R459"/>
  <c r="P459"/>
  <c r="R458"/>
  <c r="P458"/>
  <c r="R457"/>
  <c r="P457"/>
  <c r="R456"/>
  <c r="P456"/>
  <c r="R455"/>
  <c r="P455"/>
  <c r="R454"/>
  <c r="P454"/>
  <c r="R453"/>
  <c r="P453"/>
  <c r="R452"/>
  <c r="P452"/>
  <c r="R451"/>
  <c r="P451"/>
  <c r="R450"/>
  <c r="P450"/>
  <c r="R449"/>
  <c r="P449"/>
  <c r="R448"/>
  <c r="P448"/>
  <c r="R447"/>
  <c r="P447"/>
  <c r="R446"/>
  <c r="P446"/>
  <c r="R445"/>
  <c r="P445"/>
  <c r="R444"/>
  <c r="P444"/>
  <c r="R443"/>
  <c r="P443"/>
  <c r="R442"/>
  <c r="P442"/>
  <c r="R441"/>
  <c r="P441"/>
  <c r="R440"/>
  <c r="P440"/>
  <c r="R439"/>
  <c r="P439"/>
  <c r="R438"/>
  <c r="P438"/>
  <c r="AL410"/>
  <c r="AJ410"/>
  <c r="R410"/>
  <c r="AY410" s="1"/>
  <c r="P410"/>
  <c r="AH409"/>
  <c r="AF409"/>
  <c r="AH407"/>
  <c r="AF407"/>
  <c r="AH406"/>
  <c r="AF406"/>
  <c r="AH405"/>
  <c r="AF405"/>
  <c r="V405"/>
  <c r="T405"/>
  <c r="AH404"/>
  <c r="AF404"/>
  <c r="AH403"/>
  <c r="AF403"/>
  <c r="AL402"/>
  <c r="AJ402"/>
  <c r="R402"/>
  <c r="P402"/>
  <c r="AH401"/>
  <c r="AF401"/>
  <c r="AH400"/>
  <c r="AF400"/>
  <c r="AL399"/>
  <c r="AJ399"/>
  <c r="R399"/>
  <c r="P399"/>
  <c r="AH398"/>
  <c r="AF398"/>
  <c r="R398"/>
  <c r="P398"/>
  <c r="AH397"/>
  <c r="AF397"/>
  <c r="R397"/>
  <c r="P397"/>
  <c r="AH396"/>
  <c r="AF396"/>
  <c r="R396"/>
  <c r="P396"/>
  <c r="AH395"/>
  <c r="AF395"/>
  <c r="R395"/>
  <c r="P395"/>
  <c r="AH394"/>
  <c r="AF394"/>
  <c r="R394"/>
  <c r="P394"/>
  <c r="AH393"/>
  <c r="AF393"/>
  <c r="R393"/>
  <c r="P393"/>
  <c r="AH392"/>
  <c r="AF392"/>
  <c r="R392"/>
  <c r="P392"/>
  <c r="AH391"/>
  <c r="AF391"/>
  <c r="R391"/>
  <c r="P391"/>
  <c r="AH390"/>
  <c r="AF390"/>
  <c r="R390"/>
  <c r="P390"/>
  <c r="AH389"/>
  <c r="AF389"/>
  <c r="R389"/>
  <c r="P389"/>
  <c r="AH388"/>
  <c r="AF388"/>
  <c r="R388"/>
  <c r="P388"/>
  <c r="AH387"/>
  <c r="AF387"/>
  <c r="R387"/>
  <c r="P387"/>
  <c r="AH386"/>
  <c r="AF386"/>
  <c r="R386"/>
  <c r="P386"/>
  <c r="AH385"/>
  <c r="AF385"/>
  <c r="R385"/>
  <c r="P385"/>
  <c r="AH384"/>
  <c r="AF384"/>
  <c r="R384"/>
  <c r="P384"/>
  <c r="AH383"/>
  <c r="AF383"/>
  <c r="R383"/>
  <c r="P383"/>
  <c r="AH382"/>
  <c r="AF382"/>
  <c r="R382"/>
  <c r="P382"/>
  <c r="AH381"/>
  <c r="AF381"/>
  <c r="R381"/>
  <c r="P381"/>
  <c r="AH380"/>
  <c r="AF380"/>
  <c r="R380"/>
  <c r="P380"/>
  <c r="AH379"/>
  <c r="AF379"/>
  <c r="R379"/>
  <c r="P379"/>
  <c r="R718"/>
  <c r="AL717"/>
  <c r="AH717"/>
  <c r="V717"/>
  <c r="R717"/>
  <c r="AL716"/>
  <c r="AH716"/>
  <c r="V716"/>
  <c r="R716"/>
  <c r="V715"/>
  <c r="S659"/>
  <c r="V659" s="1"/>
  <c r="T657"/>
  <c r="J662"/>
  <c r="S409"/>
  <c r="AL408"/>
  <c r="AZ408" s="1"/>
  <c r="AH408"/>
  <c r="AY408" s="1"/>
  <c r="T408"/>
  <c r="P408"/>
  <c r="S401"/>
  <c r="S400"/>
  <c r="V360"/>
  <c r="AZ360" s="1"/>
  <c r="T360"/>
  <c r="AL359"/>
  <c r="AJ359"/>
  <c r="V359"/>
  <c r="AZ359" s="1"/>
  <c r="T359"/>
  <c r="AL358"/>
  <c r="AJ358"/>
  <c r="V358"/>
  <c r="AZ358" s="1"/>
  <c r="T358"/>
  <c r="AL357"/>
  <c r="AJ357"/>
  <c r="V357"/>
  <c r="AZ357" s="1"/>
  <c r="T357"/>
  <c r="AL356"/>
  <c r="AJ356"/>
  <c r="V356"/>
  <c r="AZ356" s="1"/>
  <c r="T356"/>
  <c r="AL355"/>
  <c r="AJ355"/>
  <c r="V355"/>
  <c r="AZ355" s="1"/>
  <c r="T355"/>
  <c r="AL354"/>
  <c r="AJ354"/>
  <c r="V354"/>
  <c r="AZ354" s="1"/>
  <c r="T354"/>
  <c r="AL353"/>
  <c r="AJ353"/>
  <c r="V353"/>
  <c r="AZ353" s="1"/>
  <c r="T353"/>
  <c r="AL352"/>
  <c r="AJ352"/>
  <c r="V352"/>
  <c r="AZ352" s="1"/>
  <c r="T352"/>
  <c r="AL351"/>
  <c r="AJ351"/>
  <c r="V351"/>
  <c r="AZ351" s="1"/>
  <c r="T351"/>
  <c r="AL350"/>
  <c r="AJ350"/>
  <c r="V350"/>
  <c r="AZ350" s="1"/>
  <c r="T350"/>
  <c r="AL349"/>
  <c r="AJ349"/>
  <c r="V349"/>
  <c r="AZ349" s="1"/>
  <c r="T349"/>
  <c r="AL348"/>
  <c r="AJ348"/>
  <c r="V348"/>
  <c r="AZ348" s="1"/>
  <c r="T348"/>
  <c r="AL347"/>
  <c r="AJ347"/>
  <c r="V347"/>
  <c r="AZ347" s="1"/>
  <c r="T347"/>
  <c r="AL346"/>
  <c r="AJ346"/>
  <c r="V346"/>
  <c r="AZ346" s="1"/>
  <c r="T346"/>
  <c r="AL345"/>
  <c r="AJ345"/>
  <c r="V345"/>
  <c r="AZ345" s="1"/>
  <c r="T345"/>
  <c r="AL344"/>
  <c r="AJ344"/>
  <c r="V344"/>
  <c r="AZ344" s="1"/>
  <c r="T344"/>
  <c r="AL343"/>
  <c r="AJ343"/>
  <c r="V343"/>
  <c r="AZ343" s="1"/>
  <c r="T343"/>
  <c r="AL342"/>
  <c r="AJ342"/>
  <c r="V342"/>
  <c r="AZ342" s="1"/>
  <c r="T342"/>
  <c r="AL341"/>
  <c r="AJ341"/>
  <c r="V341"/>
  <c r="AZ341" s="1"/>
  <c r="T341"/>
  <c r="AL340"/>
  <c r="AJ340"/>
  <c r="V340"/>
  <c r="AZ340" s="1"/>
  <c r="T340"/>
  <c r="AL339"/>
  <c r="AJ339"/>
  <c r="V339"/>
  <c r="AZ339" s="1"/>
  <c r="T339"/>
  <c r="AL338"/>
  <c r="AJ338"/>
  <c r="V338"/>
  <c r="AZ338" s="1"/>
  <c r="T338"/>
  <c r="AL337"/>
  <c r="AJ337"/>
  <c r="V337"/>
  <c r="AZ337" s="1"/>
  <c r="T337"/>
  <c r="AL336"/>
  <c r="AJ336"/>
  <c r="V336"/>
  <c r="AZ336" s="1"/>
  <c r="T336"/>
  <c r="AL335"/>
  <c r="AJ335"/>
  <c r="V335"/>
  <c r="AZ335" s="1"/>
  <c r="T335"/>
  <c r="AL334"/>
  <c r="AJ334"/>
  <c r="V334"/>
  <c r="AZ334" s="1"/>
  <c r="T334"/>
  <c r="V333"/>
  <c r="T333"/>
  <c r="V332"/>
  <c r="T332"/>
  <c r="V331"/>
  <c r="T331"/>
  <c r="V330"/>
  <c r="T330"/>
  <c r="V329"/>
  <c r="T329"/>
  <c r="V328"/>
  <c r="T328"/>
  <c r="V327"/>
  <c r="T327"/>
  <c r="AL326"/>
  <c r="AJ326"/>
  <c r="V326"/>
  <c r="AZ326" s="1"/>
  <c r="T326"/>
  <c r="AL325"/>
  <c r="AJ325"/>
  <c r="V325"/>
  <c r="AZ325" s="1"/>
  <c r="T325"/>
  <c r="AL324"/>
  <c r="AJ324"/>
  <c r="V324"/>
  <c r="AZ324" s="1"/>
  <c r="T324"/>
  <c r="AL323"/>
  <c r="AJ323"/>
  <c r="V323"/>
  <c r="AZ323" s="1"/>
  <c r="T323"/>
  <c r="AL322"/>
  <c r="AJ322"/>
  <c r="V322"/>
  <c r="AZ322" s="1"/>
  <c r="T322"/>
  <c r="AL321"/>
  <c r="AJ321"/>
  <c r="V321"/>
  <c r="AZ321" s="1"/>
  <c r="T321"/>
  <c r="AL320"/>
  <c r="AJ320"/>
  <c r="V320"/>
  <c r="AZ320" s="1"/>
  <c r="T320"/>
  <c r="AL319"/>
  <c r="AJ319"/>
  <c r="V319"/>
  <c r="AZ319" s="1"/>
  <c r="T319"/>
  <c r="AL318"/>
  <c r="AJ318"/>
  <c r="V318"/>
  <c r="AZ318" s="1"/>
  <c r="T318"/>
  <c r="AL317"/>
  <c r="AJ317"/>
  <c r="V317"/>
  <c r="AZ317" s="1"/>
  <c r="T317"/>
  <c r="AL316"/>
  <c r="AJ316"/>
  <c r="V316"/>
  <c r="AZ316" s="1"/>
  <c r="T316"/>
  <c r="AL315"/>
  <c r="AJ315"/>
  <c r="V315"/>
  <c r="AZ315" s="1"/>
  <c r="T315"/>
  <c r="AL314"/>
  <c r="AJ314"/>
  <c r="V314"/>
  <c r="AZ314" s="1"/>
  <c r="T314"/>
  <c r="AL313"/>
  <c r="AJ313"/>
  <c r="V313"/>
  <c r="AZ313" s="1"/>
  <c r="T313"/>
  <c r="AL312"/>
  <c r="AJ312"/>
  <c r="V312"/>
  <c r="AZ312" s="1"/>
  <c r="T312"/>
  <c r="AL311"/>
  <c r="AJ311"/>
  <c r="V311"/>
  <c r="AZ311" s="1"/>
  <c r="T311"/>
  <c r="AL310"/>
  <c r="AZ310" s="1"/>
  <c r="AJ310"/>
  <c r="AL309"/>
  <c r="AZ309" s="1"/>
  <c r="AJ309"/>
  <c r="AL308"/>
  <c r="AZ308" s="1"/>
  <c r="AJ308"/>
  <c r="AL307"/>
  <c r="AZ307" s="1"/>
  <c r="AJ307"/>
  <c r="AL306"/>
  <c r="AZ306" s="1"/>
  <c r="AJ306"/>
  <c r="AL305"/>
  <c r="AZ305" s="1"/>
  <c r="AJ305"/>
  <c r="AL304"/>
  <c r="AZ304" s="1"/>
  <c r="AJ304"/>
  <c r="AL303"/>
  <c r="AZ303" s="1"/>
  <c r="AJ303"/>
  <c r="AL302"/>
  <c r="AZ302" s="1"/>
  <c r="AJ302"/>
  <c r="AL301"/>
  <c r="AZ301" s="1"/>
  <c r="AJ301"/>
  <c r="AL300"/>
  <c r="AZ300" s="1"/>
  <c r="AJ300"/>
  <c r="AL299"/>
  <c r="AZ299" s="1"/>
  <c r="AJ299"/>
  <c r="AL298"/>
  <c r="AZ298" s="1"/>
  <c r="AJ298"/>
  <c r="AL297"/>
  <c r="AZ297" s="1"/>
  <c r="AJ297"/>
  <c r="AL296"/>
  <c r="AZ296" s="1"/>
  <c r="AJ296"/>
  <c r="AL295"/>
  <c r="AZ295" s="1"/>
  <c r="AJ295"/>
  <c r="AL294"/>
  <c r="AZ294" s="1"/>
  <c r="AJ294"/>
  <c r="AL293"/>
  <c r="AZ293" s="1"/>
  <c r="AJ293"/>
  <c r="AL292"/>
  <c r="AZ292" s="1"/>
  <c r="AJ292"/>
  <c r="AL291"/>
  <c r="AZ291" s="1"/>
  <c r="AJ291"/>
  <c r="AL290"/>
  <c r="AZ290" s="1"/>
  <c r="AJ290"/>
  <c r="AL289"/>
  <c r="AZ289" s="1"/>
  <c r="AJ289"/>
  <c r="AL288"/>
  <c r="AZ288" s="1"/>
  <c r="AJ288"/>
  <c r="AL287"/>
  <c r="AZ287" s="1"/>
  <c r="AJ287"/>
  <c r="AL286"/>
  <c r="AZ286" s="1"/>
  <c r="AJ286"/>
  <c r="AH285"/>
  <c r="AY285" s="1"/>
  <c r="AF285"/>
  <c r="AH284"/>
  <c r="AY284" s="1"/>
  <c r="AF284"/>
  <c r="AH283"/>
  <c r="AY283" s="1"/>
  <c r="AF283"/>
  <c r="AH282"/>
  <c r="AY282" s="1"/>
  <c r="AF282"/>
  <c r="AH281"/>
  <c r="AY281" s="1"/>
  <c r="AF281"/>
  <c r="AL280"/>
  <c r="AZ280" s="1"/>
  <c r="AJ280"/>
  <c r="AL279"/>
  <c r="AJ279"/>
  <c r="AL278"/>
  <c r="AZ278" s="1"/>
  <c r="AJ278"/>
  <c r="AL255"/>
  <c r="AJ255"/>
  <c r="V255"/>
  <c r="AZ255" s="1"/>
  <c r="T255"/>
  <c r="AL254"/>
  <c r="AJ254"/>
  <c r="V254"/>
  <c r="AZ254" s="1"/>
  <c r="T254"/>
  <c r="AL253"/>
  <c r="AJ253"/>
  <c r="V253"/>
  <c r="AZ253" s="1"/>
  <c r="T253"/>
  <c r="AL252"/>
  <c r="AJ252"/>
  <c r="V252"/>
  <c r="AZ252" s="1"/>
  <c r="T252"/>
  <c r="AL251"/>
  <c r="AJ251"/>
  <c r="V251"/>
  <c r="AZ251" s="1"/>
  <c r="T251"/>
  <c r="AL250"/>
  <c r="AJ250"/>
  <c r="V250"/>
  <c r="AZ250" s="1"/>
  <c r="T250"/>
  <c r="AL249"/>
  <c r="AJ249"/>
  <c r="V249"/>
  <c r="AZ249" s="1"/>
  <c r="T249"/>
  <c r="AL248"/>
  <c r="AJ248"/>
  <c r="V248"/>
  <c r="AZ248" s="1"/>
  <c r="T248"/>
  <c r="AL239"/>
  <c r="AJ239"/>
  <c r="V239"/>
  <c r="AZ239" s="1"/>
  <c r="T239"/>
  <c r="AL238"/>
  <c r="AJ238"/>
  <c r="V238"/>
  <c r="AZ238" s="1"/>
  <c r="T238"/>
  <c r="AL235"/>
  <c r="AJ235"/>
  <c r="V235"/>
  <c r="AZ235" s="1"/>
  <c r="T235"/>
  <c r="AL237"/>
  <c r="AJ237"/>
  <c r="V237"/>
  <c r="AZ237" s="1"/>
  <c r="T237"/>
  <c r="AL236"/>
  <c r="AJ236"/>
  <c r="V236"/>
  <c r="AZ236" s="1"/>
  <c r="T236"/>
  <c r="AL234"/>
  <c r="AJ234"/>
  <c r="V234"/>
  <c r="AZ234" s="1"/>
  <c r="T234"/>
  <c r="AL233"/>
  <c r="AJ233"/>
  <c r="V233"/>
  <c r="AZ233" s="1"/>
  <c r="T233"/>
  <c r="AL232"/>
  <c r="AJ232"/>
  <c r="V232"/>
  <c r="AZ232" s="1"/>
  <c r="T232"/>
  <c r="AL223"/>
  <c r="AJ223"/>
  <c r="V223"/>
  <c r="AZ223" s="1"/>
  <c r="T223"/>
  <c r="AL222"/>
  <c r="AJ222"/>
  <c r="V222"/>
  <c r="AZ222" s="1"/>
  <c r="T222"/>
  <c r="AL221"/>
  <c r="AJ221"/>
  <c r="V221"/>
  <c r="AZ221" s="1"/>
  <c r="T221"/>
  <c r="AL220"/>
  <c r="AJ220"/>
  <c r="V220"/>
  <c r="AZ220" s="1"/>
  <c r="T220"/>
  <c r="AL219"/>
  <c r="AJ219"/>
  <c r="V219"/>
  <c r="AZ219" s="1"/>
  <c r="T219"/>
  <c r="AL218"/>
  <c r="AJ218"/>
  <c r="V218"/>
  <c r="AZ218" s="1"/>
  <c r="T218"/>
  <c r="AL217"/>
  <c r="AJ217"/>
  <c r="V217"/>
  <c r="AZ217" s="1"/>
  <c r="T217"/>
  <c r="AL216"/>
  <c r="AJ216"/>
  <c r="V216"/>
  <c r="AZ216" s="1"/>
  <c r="T216"/>
  <c r="AL215"/>
  <c r="AJ215"/>
  <c r="V215"/>
  <c r="AZ215" s="1"/>
  <c r="T215"/>
  <c r="AL214"/>
  <c r="AJ214"/>
  <c r="V214"/>
  <c r="AZ214" s="1"/>
  <c r="T214"/>
  <c r="AL213"/>
  <c r="AJ213"/>
  <c r="V213"/>
  <c r="AZ213" s="1"/>
  <c r="T213"/>
  <c r="AL212"/>
  <c r="AJ212"/>
  <c r="V212"/>
  <c r="AZ212" s="1"/>
  <c r="T212"/>
  <c r="AL211"/>
  <c r="AJ211"/>
  <c r="V211"/>
  <c r="AZ211" s="1"/>
  <c r="T211"/>
  <c r="V210"/>
  <c r="T210"/>
  <c r="AL209"/>
  <c r="AJ209"/>
  <c r="V209"/>
  <c r="AZ209" s="1"/>
  <c r="T209"/>
  <c r="AL208"/>
  <c r="AJ208"/>
  <c r="V208"/>
  <c r="AZ208" s="1"/>
  <c r="T208"/>
  <c r="AL207"/>
  <c r="AJ207"/>
  <c r="V207"/>
  <c r="AZ207" s="1"/>
  <c r="T207"/>
  <c r="AL206"/>
  <c r="AJ206"/>
  <c r="V206"/>
  <c r="AZ206" s="1"/>
  <c r="T206"/>
  <c r="AL205"/>
  <c r="AJ205"/>
  <c r="V205"/>
  <c r="AZ205" s="1"/>
  <c r="T205"/>
  <c r="AL204"/>
  <c r="AJ204"/>
  <c r="V204"/>
  <c r="AZ204" s="1"/>
  <c r="T204"/>
  <c r="AL203"/>
  <c r="AJ203"/>
  <c r="V203"/>
  <c r="AZ203" s="1"/>
  <c r="T203"/>
  <c r="AL202"/>
  <c r="AJ202"/>
  <c r="V202"/>
  <c r="AZ202" s="1"/>
  <c r="T202"/>
  <c r="AL201"/>
  <c r="AJ201"/>
  <c r="V201"/>
  <c r="AZ201" s="1"/>
  <c r="T201"/>
  <c r="AL200"/>
  <c r="AJ200"/>
  <c r="V200"/>
  <c r="AZ200" s="1"/>
  <c r="T200"/>
  <c r="AL199"/>
  <c r="AJ199"/>
  <c r="V199"/>
  <c r="AZ199" s="1"/>
  <c r="T199"/>
  <c r="AL198"/>
  <c r="AJ198"/>
  <c r="V198"/>
  <c r="AZ198" s="1"/>
  <c r="T198"/>
  <c r="AL197"/>
  <c r="AJ197"/>
  <c r="V197"/>
  <c r="AZ197" s="1"/>
  <c r="T197"/>
  <c r="AL196"/>
  <c r="AJ196"/>
  <c r="V196"/>
  <c r="AZ196" s="1"/>
  <c r="T196"/>
  <c r="AL195"/>
  <c r="AJ195"/>
  <c r="V195"/>
  <c r="AZ195" s="1"/>
  <c r="T195"/>
  <c r="AL194"/>
  <c r="AJ194"/>
  <c r="V194"/>
  <c r="AZ194" s="1"/>
  <c r="T194"/>
  <c r="AL193"/>
  <c r="AJ193"/>
  <c r="V193"/>
  <c r="AZ193" s="1"/>
  <c r="T193"/>
  <c r="AL192"/>
  <c r="AJ192"/>
  <c r="V192"/>
  <c r="AZ192" s="1"/>
  <c r="T192"/>
  <c r="AL191"/>
  <c r="AJ191"/>
  <c r="V191"/>
  <c r="AZ191" s="1"/>
  <c r="T191"/>
  <c r="AL190"/>
  <c r="AJ190"/>
  <c r="V190"/>
  <c r="AZ190" s="1"/>
  <c r="T190"/>
  <c r="AL189"/>
  <c r="AJ189"/>
  <c r="V189"/>
  <c r="AZ189" s="1"/>
  <c r="T189"/>
  <c r="AL188"/>
  <c r="AJ188"/>
  <c r="V188"/>
  <c r="AZ188" s="1"/>
  <c r="T188"/>
  <c r="AL187"/>
  <c r="AJ187"/>
  <c r="V187"/>
  <c r="AZ187" s="1"/>
  <c r="T187"/>
  <c r="AL186"/>
  <c r="AJ186"/>
  <c r="V186"/>
  <c r="AZ186" s="1"/>
  <c r="T186"/>
  <c r="AL185"/>
  <c r="AJ185"/>
  <c r="V185"/>
  <c r="AZ185" s="1"/>
  <c r="T185"/>
  <c r="AL184"/>
  <c r="AJ184"/>
  <c r="V184"/>
  <c r="AZ184" s="1"/>
  <c r="T184"/>
  <c r="AL183"/>
  <c r="AJ183"/>
  <c r="V183"/>
  <c r="AZ183" s="1"/>
  <c r="T183"/>
  <c r="AL182"/>
  <c r="AJ182"/>
  <c r="V182"/>
  <c r="AZ182" s="1"/>
  <c r="T182"/>
  <c r="AL181"/>
  <c r="AJ181"/>
  <c r="V181"/>
  <c r="AZ181" s="1"/>
  <c r="T181"/>
  <c r="AL180"/>
  <c r="AJ180"/>
  <c r="V180"/>
  <c r="AZ180" s="1"/>
  <c r="T180"/>
  <c r="AL179"/>
  <c r="AJ179"/>
  <c r="V179"/>
  <c r="AZ179" s="1"/>
  <c r="T179"/>
  <c r="AL178"/>
  <c r="AJ178"/>
  <c r="V178"/>
  <c r="AZ178" s="1"/>
  <c r="T178"/>
  <c r="AL177"/>
  <c r="AJ177"/>
  <c r="V177"/>
  <c r="AZ177" s="1"/>
  <c r="T177"/>
  <c r="AL176"/>
  <c r="AJ176"/>
  <c r="V176"/>
  <c r="AZ176" s="1"/>
  <c r="T176"/>
  <c r="AL175"/>
  <c r="AJ175"/>
  <c r="V175"/>
  <c r="AZ175" s="1"/>
  <c r="T175"/>
  <c r="AL174"/>
  <c r="AJ174"/>
  <c r="V174"/>
  <c r="AZ174" s="1"/>
  <c r="T174"/>
  <c r="AH378"/>
  <c r="AF378"/>
  <c r="R378"/>
  <c r="P378"/>
  <c r="AH377"/>
  <c r="AF377"/>
  <c r="R377"/>
  <c r="P377"/>
  <c r="AH376"/>
  <c r="AF376"/>
  <c r="R376"/>
  <c r="AY376" s="1"/>
  <c r="P376"/>
  <c r="AH375"/>
  <c r="AF375"/>
  <c r="R375"/>
  <c r="P375"/>
  <c r="AH374"/>
  <c r="AF374"/>
  <c r="R374"/>
  <c r="P374"/>
  <c r="AH373"/>
  <c r="AF373"/>
  <c r="R373"/>
  <c r="P373"/>
  <c r="AH372"/>
  <c r="AF372"/>
  <c r="R372"/>
  <c r="P372"/>
  <c r="AH371"/>
  <c r="AF371"/>
  <c r="R371"/>
  <c r="AY371" s="1"/>
  <c r="P371"/>
  <c r="AH370"/>
  <c r="AF370"/>
  <c r="R370"/>
  <c r="P370"/>
  <c r="AH369"/>
  <c r="AF369"/>
  <c r="R369"/>
  <c r="P369"/>
  <c r="AH368"/>
  <c r="AF368"/>
  <c r="R368"/>
  <c r="P368"/>
  <c r="AH367"/>
  <c r="AF367"/>
  <c r="R367"/>
  <c r="P367"/>
  <c r="AH366"/>
  <c r="AF366"/>
  <c r="R366"/>
  <c r="P366"/>
  <c r="AH365"/>
  <c r="AF365"/>
  <c r="R365"/>
  <c r="P365"/>
  <c r="AH364"/>
  <c r="AF364"/>
  <c r="R364"/>
  <c r="AY364" s="1"/>
  <c r="P364"/>
  <c r="AH363"/>
  <c r="AF363"/>
  <c r="R363"/>
  <c r="AY363" s="1"/>
  <c r="P363"/>
  <c r="AH362"/>
  <c r="AF362"/>
  <c r="R362"/>
  <c r="AY362" s="1"/>
  <c r="P362"/>
  <c r="AH361"/>
  <c r="AF361"/>
  <c r="R361"/>
  <c r="AY361" s="1"/>
  <c r="P361"/>
  <c r="AH360"/>
  <c r="AF360"/>
  <c r="R360"/>
  <c r="AY360" s="1"/>
  <c r="P360"/>
  <c r="AH359"/>
  <c r="AF359"/>
  <c r="R359"/>
  <c r="AY359" s="1"/>
  <c r="P359"/>
  <c r="AH358"/>
  <c r="AF358"/>
  <c r="R358"/>
  <c r="AY358" s="1"/>
  <c r="P358"/>
  <c r="AH357"/>
  <c r="AF357"/>
  <c r="R357"/>
  <c r="AY357" s="1"/>
  <c r="P357"/>
  <c r="AH356"/>
  <c r="AF356"/>
  <c r="R356"/>
  <c r="AY356" s="1"/>
  <c r="P356"/>
  <c r="AH355"/>
  <c r="AF355"/>
  <c r="R355"/>
  <c r="AY355" s="1"/>
  <c r="P355"/>
  <c r="AH354"/>
  <c r="AF354"/>
  <c r="R354"/>
  <c r="AY354" s="1"/>
  <c r="P354"/>
  <c r="AH353"/>
  <c r="AF353"/>
  <c r="R353"/>
  <c r="AY353" s="1"/>
  <c r="P353"/>
  <c r="AH352"/>
  <c r="AF352"/>
  <c r="R352"/>
  <c r="AY352" s="1"/>
  <c r="P352"/>
  <c r="AH351"/>
  <c r="AF351"/>
  <c r="R351"/>
  <c r="AY351" s="1"/>
  <c r="P351"/>
  <c r="AH350"/>
  <c r="AF350"/>
  <c r="R350"/>
  <c r="AY350" s="1"/>
  <c r="P350"/>
  <c r="AH349"/>
  <c r="AF349"/>
  <c r="R349"/>
  <c r="AY349" s="1"/>
  <c r="P349"/>
  <c r="AH348"/>
  <c r="AF348"/>
  <c r="R348"/>
  <c r="AY348" s="1"/>
  <c r="P348"/>
  <c r="AH347"/>
  <c r="AF347"/>
  <c r="R347"/>
  <c r="AY347" s="1"/>
  <c r="P347"/>
  <c r="AH346"/>
  <c r="AF346"/>
  <c r="R346"/>
  <c r="AY346" s="1"/>
  <c r="P346"/>
  <c r="AH345"/>
  <c r="AF345"/>
  <c r="R345"/>
  <c r="AY345" s="1"/>
  <c r="P345"/>
  <c r="AH344"/>
  <c r="AF344"/>
  <c r="R344"/>
  <c r="AY344" s="1"/>
  <c r="P344"/>
  <c r="AH343"/>
  <c r="AF343"/>
  <c r="R343"/>
  <c r="AY343" s="1"/>
  <c r="P343"/>
  <c r="AH342"/>
  <c r="AF342"/>
  <c r="R342"/>
  <c r="AY342" s="1"/>
  <c r="P342"/>
  <c r="AH341"/>
  <c r="AF341"/>
  <c r="R341"/>
  <c r="AY341" s="1"/>
  <c r="P341"/>
  <c r="AH340"/>
  <c r="AF340"/>
  <c r="R340"/>
  <c r="AY340" s="1"/>
  <c r="P340"/>
  <c r="AH339"/>
  <c r="AF339"/>
  <c r="R339"/>
  <c r="AY339" s="1"/>
  <c r="P339"/>
  <c r="AH338"/>
  <c r="AF338"/>
  <c r="R338"/>
  <c r="AY338" s="1"/>
  <c r="P338"/>
  <c r="AH337"/>
  <c r="AF337"/>
  <c r="R337"/>
  <c r="AY337" s="1"/>
  <c r="P337"/>
  <c r="AH336"/>
  <c r="AF336"/>
  <c r="R336"/>
  <c r="AY336" s="1"/>
  <c r="P336"/>
  <c r="AH335"/>
  <c r="AF335"/>
  <c r="R335"/>
  <c r="AY335" s="1"/>
  <c r="P335"/>
  <c r="AH334"/>
  <c r="AF334"/>
  <c r="R334"/>
  <c r="AY334" s="1"/>
  <c r="P334"/>
  <c r="AH333"/>
  <c r="AF333"/>
  <c r="R333"/>
  <c r="AY333" s="1"/>
  <c r="P333"/>
  <c r="AH332"/>
  <c r="AF332"/>
  <c r="R332"/>
  <c r="AY332" s="1"/>
  <c r="P332"/>
  <c r="AH331"/>
  <c r="AF331"/>
  <c r="R331"/>
  <c r="AY331" s="1"/>
  <c r="P331"/>
  <c r="AH330"/>
  <c r="AF330"/>
  <c r="R330"/>
  <c r="AY330" s="1"/>
  <c r="P330"/>
  <c r="AH329"/>
  <c r="AF329"/>
  <c r="R329"/>
  <c r="AY329" s="1"/>
  <c r="P329"/>
  <c r="AH328"/>
  <c r="AF328"/>
  <c r="R328"/>
  <c r="AY328" s="1"/>
  <c r="P328"/>
  <c r="AH327"/>
  <c r="AF327"/>
  <c r="R327"/>
  <c r="AY327" s="1"/>
  <c r="P327"/>
  <c r="AH326"/>
  <c r="AF326"/>
  <c r="R326"/>
  <c r="AY326" s="1"/>
  <c r="P326"/>
  <c r="AH325"/>
  <c r="AY325" s="1"/>
  <c r="AF325"/>
  <c r="AH324"/>
  <c r="AY324" s="1"/>
  <c r="AF324"/>
  <c r="AH323"/>
  <c r="AY323" s="1"/>
  <c r="AF323"/>
  <c r="AH322"/>
  <c r="AY322" s="1"/>
  <c r="AF322"/>
  <c r="AH321"/>
  <c r="AY321" s="1"/>
  <c r="AF321"/>
  <c r="AH320"/>
  <c r="AY320" s="1"/>
  <c r="AF320"/>
  <c r="AH319"/>
  <c r="AY319" s="1"/>
  <c r="AF319"/>
  <c r="AH318"/>
  <c r="AY318" s="1"/>
  <c r="AF318"/>
  <c r="AH317"/>
  <c r="AY317" s="1"/>
  <c r="AF317"/>
  <c r="AH316"/>
  <c r="AY316" s="1"/>
  <c r="AF316"/>
  <c r="AH315"/>
  <c r="AY315" s="1"/>
  <c r="AF315"/>
  <c r="AH314"/>
  <c r="AY314" s="1"/>
  <c r="AF314"/>
  <c r="AH313"/>
  <c r="AY313" s="1"/>
  <c r="AF313"/>
  <c r="AH312"/>
  <c r="AY312" s="1"/>
  <c r="AF312"/>
  <c r="AH311"/>
  <c r="AY311" s="1"/>
  <c r="AF311"/>
  <c r="AH310"/>
  <c r="AY310" s="1"/>
  <c r="AF310"/>
  <c r="AH309"/>
  <c r="AY309" s="1"/>
  <c r="AF309"/>
  <c r="AH308"/>
  <c r="AY308" s="1"/>
  <c r="AF308"/>
  <c r="AH307"/>
  <c r="AY307" s="1"/>
  <c r="AF307"/>
  <c r="AH306"/>
  <c r="AY306" s="1"/>
  <c r="AF306"/>
  <c r="AH305"/>
  <c r="AY305" s="1"/>
  <c r="AF305"/>
  <c r="AH304"/>
  <c r="AY304" s="1"/>
  <c r="AF304"/>
  <c r="AH303"/>
  <c r="AY303" s="1"/>
  <c r="AF303"/>
  <c r="AH302"/>
  <c r="AY302" s="1"/>
  <c r="AF302"/>
  <c r="AH301"/>
  <c r="AY301" s="1"/>
  <c r="AF301"/>
  <c r="AH300"/>
  <c r="AY300" s="1"/>
  <c r="AF300"/>
  <c r="AH299"/>
  <c r="AY299" s="1"/>
  <c r="AF299"/>
  <c r="AH298"/>
  <c r="AY298" s="1"/>
  <c r="AF298"/>
  <c r="AH297"/>
  <c r="AY297" s="1"/>
  <c r="AF297"/>
  <c r="AH296"/>
  <c r="AY296" s="1"/>
  <c r="AF296"/>
  <c r="AH295"/>
  <c r="AY295" s="1"/>
  <c r="AF295"/>
  <c r="AH294"/>
  <c r="AY294" s="1"/>
  <c r="AF294"/>
  <c r="AH293"/>
  <c r="AY293" s="1"/>
  <c r="AF293"/>
  <c r="AH292"/>
  <c r="AY292" s="1"/>
  <c r="AF292"/>
  <c r="AH291"/>
  <c r="AY291" s="1"/>
  <c r="AF291"/>
  <c r="AH290"/>
  <c r="AY290" s="1"/>
  <c r="AF290"/>
  <c r="AH289"/>
  <c r="AY289" s="1"/>
  <c r="AF289"/>
  <c r="AH288"/>
  <c r="AY288" s="1"/>
  <c r="AF288"/>
  <c r="AH287"/>
  <c r="AY287" s="1"/>
  <c r="AF287"/>
  <c r="AH286"/>
  <c r="AY286" s="1"/>
  <c r="AF286"/>
  <c r="AL285"/>
  <c r="AZ285" s="1"/>
  <c r="AJ285"/>
  <c r="AL284"/>
  <c r="AZ284" s="1"/>
  <c r="AJ284"/>
  <c r="AL283"/>
  <c r="AZ283" s="1"/>
  <c r="AJ283"/>
  <c r="AL282"/>
  <c r="AJ282"/>
  <c r="AL281"/>
  <c r="AZ281" s="1"/>
  <c r="AJ281"/>
  <c r="AH280"/>
  <c r="AY280" s="1"/>
  <c r="AF280"/>
  <c r="AH279"/>
  <c r="AY279" s="1"/>
  <c r="AF279"/>
  <c r="AH278"/>
  <c r="AY278" s="1"/>
  <c r="AF278"/>
  <c r="R256"/>
  <c r="P256"/>
  <c r="AH255"/>
  <c r="AF255"/>
  <c r="R255"/>
  <c r="AY255" s="1"/>
  <c r="P255"/>
  <c r="AH254"/>
  <c r="AF254"/>
  <c r="R254"/>
  <c r="AY254" s="1"/>
  <c r="P254"/>
  <c r="AH253"/>
  <c r="AF253"/>
  <c r="R253"/>
  <c r="AY253" s="1"/>
  <c r="P253"/>
  <c r="AH252"/>
  <c r="AF252"/>
  <c r="R252"/>
  <c r="AY252" s="1"/>
  <c r="P252"/>
  <c r="AH251"/>
  <c r="AF251"/>
  <c r="R251"/>
  <c r="AY251" s="1"/>
  <c r="P251"/>
  <c r="AH250"/>
  <c r="AF250"/>
  <c r="R250"/>
  <c r="AY250" s="1"/>
  <c r="P250"/>
  <c r="AH249"/>
  <c r="AF249"/>
  <c r="R249"/>
  <c r="AY249" s="1"/>
  <c r="P249"/>
  <c r="AH248"/>
  <c r="AF248"/>
  <c r="R240"/>
  <c r="P240"/>
  <c r="AH239"/>
  <c r="AF239"/>
  <c r="R239"/>
  <c r="AY239" s="1"/>
  <c r="P239"/>
  <c r="AH238"/>
  <c r="AF238"/>
  <c r="R238"/>
  <c r="AY238" s="1"/>
  <c r="P238"/>
  <c r="AH235"/>
  <c r="AF235"/>
  <c r="R235"/>
  <c r="AY235" s="1"/>
  <c r="P235"/>
  <c r="AH237"/>
  <c r="AF237"/>
  <c r="R237"/>
  <c r="AY237" s="1"/>
  <c r="P237"/>
  <c r="AH236"/>
  <c r="AF236"/>
  <c r="R236"/>
  <c r="AY236" s="1"/>
  <c r="P236"/>
  <c r="AH234"/>
  <c r="AF234"/>
  <c r="R234"/>
  <c r="AY234" s="1"/>
  <c r="P234"/>
  <c r="AH233"/>
  <c r="AF233"/>
  <c r="R233"/>
  <c r="AY233" s="1"/>
  <c r="P233"/>
  <c r="AH232"/>
  <c r="AF232"/>
  <c r="R224"/>
  <c r="P224"/>
  <c r="AH223"/>
  <c r="AF223"/>
  <c r="R223"/>
  <c r="AY223" s="1"/>
  <c r="P223"/>
  <c r="AH222"/>
  <c r="AF222"/>
  <c r="R222"/>
  <c r="AY222" s="1"/>
  <c r="P222"/>
  <c r="AH221"/>
  <c r="AF221"/>
  <c r="R221"/>
  <c r="AY221" s="1"/>
  <c r="P221"/>
  <c r="AH220"/>
  <c r="AF220"/>
  <c r="R220"/>
  <c r="AY220" s="1"/>
  <c r="P220"/>
  <c r="AH219"/>
  <c r="AF219"/>
  <c r="R219"/>
  <c r="AY219" s="1"/>
  <c r="P219"/>
  <c r="AH218"/>
  <c r="AF218"/>
  <c r="R218"/>
  <c r="AY218" s="1"/>
  <c r="P218"/>
  <c r="AH217"/>
  <c r="AF217"/>
  <c r="R217"/>
  <c r="AY217" s="1"/>
  <c r="P217"/>
  <c r="AH216"/>
  <c r="AF216"/>
  <c r="R216"/>
  <c r="AY216" s="1"/>
  <c r="P216"/>
  <c r="AH215"/>
  <c r="AF215"/>
  <c r="R215"/>
  <c r="AY215" s="1"/>
  <c r="P215"/>
  <c r="AH214"/>
  <c r="AF214"/>
  <c r="R214"/>
  <c r="AY214" s="1"/>
  <c r="P214"/>
  <c r="AH213"/>
  <c r="AF213"/>
  <c r="R213"/>
  <c r="AY213" s="1"/>
  <c r="P213"/>
  <c r="AH212"/>
  <c r="AF212"/>
  <c r="R212"/>
  <c r="AY212" s="1"/>
  <c r="P212"/>
  <c r="AH211"/>
  <c r="AF211"/>
  <c r="R211"/>
  <c r="AY211" s="1"/>
  <c r="P211"/>
  <c r="R210"/>
  <c r="P210"/>
  <c r="AH209"/>
  <c r="AF209"/>
  <c r="R209"/>
  <c r="AY209" s="1"/>
  <c r="P209"/>
  <c r="AH208"/>
  <c r="AF208"/>
  <c r="R208"/>
  <c r="AY208" s="1"/>
  <c r="P208"/>
  <c r="AH207"/>
  <c r="AF207"/>
  <c r="R207"/>
  <c r="AY207" s="1"/>
  <c r="P207"/>
  <c r="AH206"/>
  <c r="AF206"/>
  <c r="R206"/>
  <c r="AY206" s="1"/>
  <c r="P206"/>
  <c r="AH205"/>
  <c r="AF205"/>
  <c r="R205"/>
  <c r="AY205" s="1"/>
  <c r="P205"/>
  <c r="AH204"/>
  <c r="AF204"/>
  <c r="R204"/>
  <c r="AY204" s="1"/>
  <c r="P204"/>
  <c r="AH203"/>
  <c r="AF203"/>
  <c r="R203"/>
  <c r="AY203" s="1"/>
  <c r="P203"/>
  <c r="AH202"/>
  <c r="AF202"/>
  <c r="R202"/>
  <c r="AY202" s="1"/>
  <c r="P202"/>
  <c r="AH201"/>
  <c r="AF201"/>
  <c r="R201"/>
  <c r="AY201" s="1"/>
  <c r="P201"/>
  <c r="AH200"/>
  <c r="AF200"/>
  <c r="R200"/>
  <c r="AY200" s="1"/>
  <c r="P200"/>
  <c r="AH199"/>
  <c r="AF199"/>
  <c r="R199"/>
  <c r="AY199" s="1"/>
  <c r="P199"/>
  <c r="AH198"/>
  <c r="AF198"/>
  <c r="R198"/>
  <c r="AY198" s="1"/>
  <c r="P198"/>
  <c r="AH197"/>
  <c r="AF197"/>
  <c r="R197"/>
  <c r="AY197" s="1"/>
  <c r="P197"/>
  <c r="AH196"/>
  <c r="AF196"/>
  <c r="R196"/>
  <c r="AY196" s="1"/>
  <c r="P196"/>
  <c r="AH195"/>
  <c r="AF195"/>
  <c r="R195"/>
  <c r="AY195" s="1"/>
  <c r="P195"/>
  <c r="AH194"/>
  <c r="AF194"/>
  <c r="R194"/>
  <c r="AY194" s="1"/>
  <c r="P194"/>
  <c r="AH193"/>
  <c r="AF193"/>
  <c r="R193"/>
  <c r="AY193" s="1"/>
  <c r="P193"/>
  <c r="AH192"/>
  <c r="AF192"/>
  <c r="R192"/>
  <c r="AY192" s="1"/>
  <c r="P192"/>
  <c r="AH191"/>
  <c r="AF191"/>
  <c r="R191"/>
  <c r="AY191" s="1"/>
  <c r="P191"/>
  <c r="AH190"/>
  <c r="AF190"/>
  <c r="R190"/>
  <c r="AY190" s="1"/>
  <c r="P190"/>
  <c r="AH189"/>
  <c r="AF189"/>
  <c r="R189"/>
  <c r="AY189" s="1"/>
  <c r="P189"/>
  <c r="AH188"/>
  <c r="AF188"/>
  <c r="R188"/>
  <c r="AY188" s="1"/>
  <c r="P188"/>
  <c r="AH187"/>
  <c r="AF187"/>
  <c r="R187"/>
  <c r="AY187" s="1"/>
  <c r="P187"/>
  <c r="AH186"/>
  <c r="AF186"/>
  <c r="R186"/>
  <c r="AY186" s="1"/>
  <c r="P186"/>
  <c r="AH185"/>
  <c r="AF185"/>
  <c r="R185"/>
  <c r="AY185" s="1"/>
  <c r="P185"/>
  <c r="AH184"/>
  <c r="AF184"/>
  <c r="R184"/>
  <c r="AY184" s="1"/>
  <c r="P184"/>
  <c r="AH183"/>
  <c r="AF183"/>
  <c r="R183"/>
  <c r="AY183" s="1"/>
  <c r="P183"/>
  <c r="AH182"/>
  <c r="AF182"/>
  <c r="R182"/>
  <c r="AY182" s="1"/>
  <c r="P182"/>
  <c r="AH181"/>
  <c r="AF181"/>
  <c r="R181"/>
  <c r="AY181" s="1"/>
  <c r="P181"/>
  <c r="AH180"/>
  <c r="AF180"/>
  <c r="R180"/>
  <c r="AY180" s="1"/>
  <c r="P180"/>
  <c r="AH179"/>
  <c r="AF179"/>
  <c r="R179"/>
  <c r="AY179" s="1"/>
  <c r="P179"/>
  <c r="AH178"/>
  <c r="AF178"/>
  <c r="R178"/>
  <c r="AY178" s="1"/>
  <c r="P178"/>
  <c r="AH177"/>
  <c r="AF177"/>
  <c r="R177"/>
  <c r="AY177" s="1"/>
  <c r="P177"/>
  <c r="AH176"/>
  <c r="AF176"/>
  <c r="R176"/>
  <c r="AY176" s="1"/>
  <c r="P176"/>
  <c r="AH175"/>
  <c r="AF175"/>
  <c r="R175"/>
  <c r="AY175" s="1"/>
  <c r="P175"/>
  <c r="AH174"/>
  <c r="AF174"/>
  <c r="R174"/>
  <c r="AY174" s="1"/>
  <c r="P174"/>
  <c r="AH173"/>
  <c r="AF173"/>
  <c r="R173"/>
  <c r="AY173" s="1"/>
  <c r="P173"/>
  <c r="AH172"/>
  <c r="AF172"/>
  <c r="R172"/>
  <c r="AY172" s="1"/>
  <c r="P172"/>
  <c r="AH171"/>
  <c r="AF171"/>
  <c r="R171"/>
  <c r="AY171" s="1"/>
  <c r="P171"/>
  <c r="AH170"/>
  <c r="AF170"/>
  <c r="R170"/>
  <c r="AY170" s="1"/>
  <c r="P170"/>
  <c r="AH169"/>
  <c r="AF169"/>
  <c r="R169"/>
  <c r="AY169" s="1"/>
  <c r="P169"/>
  <c r="AH168"/>
  <c r="AF168"/>
  <c r="R168"/>
  <c r="AY168" s="1"/>
  <c r="P168"/>
  <c r="AH167"/>
  <c r="AF167"/>
  <c r="R167"/>
  <c r="AY167" s="1"/>
  <c r="P167"/>
  <c r="AH166"/>
  <c r="AF166"/>
  <c r="R166"/>
  <c r="AY166" s="1"/>
  <c r="P166"/>
  <c r="AH165"/>
  <c r="AF165"/>
  <c r="R165"/>
  <c r="AY165" s="1"/>
  <c r="P165"/>
  <c r="AH164"/>
  <c r="AF164"/>
  <c r="R164"/>
  <c r="AY164" s="1"/>
  <c r="P164"/>
  <c r="AH163"/>
  <c r="AF163"/>
  <c r="R163"/>
  <c r="AY163" s="1"/>
  <c r="P163"/>
  <c r="AH162"/>
  <c r="AF162"/>
  <c r="R162"/>
  <c r="AY162" s="1"/>
  <c r="P162"/>
  <c r="AH161"/>
  <c r="AF161"/>
  <c r="R161"/>
  <c r="AY161" s="1"/>
  <c r="P161"/>
  <c r="AH160"/>
  <c r="AF160"/>
  <c r="R160"/>
  <c r="AY160" s="1"/>
  <c r="P160"/>
  <c r="AH159"/>
  <c r="AF159"/>
  <c r="R159"/>
  <c r="AY159" s="1"/>
  <c r="P159"/>
  <c r="AH158"/>
  <c r="AF158"/>
  <c r="R158"/>
  <c r="AY158" s="1"/>
  <c r="P158"/>
  <c r="AH157"/>
  <c r="AF157"/>
  <c r="R157"/>
  <c r="AY157" s="1"/>
  <c r="P157"/>
  <c r="AH156"/>
  <c r="AF156"/>
  <c r="R156"/>
  <c r="AY156" s="1"/>
  <c r="P156"/>
  <c r="AH155"/>
  <c r="AF155"/>
  <c r="R155"/>
  <c r="AY155" s="1"/>
  <c r="P155"/>
  <c r="AH154"/>
  <c r="AF154"/>
  <c r="R154"/>
  <c r="AY154" s="1"/>
  <c r="P154"/>
  <c r="AH153"/>
  <c r="AF153"/>
  <c r="R153"/>
  <c r="AY153" s="1"/>
  <c r="P153"/>
  <c r="AH152"/>
  <c r="AF152"/>
  <c r="R152"/>
  <c r="AY152" s="1"/>
  <c r="P152"/>
  <c r="AH151"/>
  <c r="AY151" s="1"/>
  <c r="AF151"/>
  <c r="AW279"/>
  <c r="AX279" s="1"/>
  <c r="AL277"/>
  <c r="AZ277" s="1"/>
  <c r="AH277"/>
  <c r="AY277" s="1"/>
  <c r="AL276"/>
  <c r="AH276"/>
  <c r="AY276" s="1"/>
  <c r="AL275"/>
  <c r="AH275"/>
  <c r="V275"/>
  <c r="AZ275" s="1"/>
  <c r="R275"/>
  <c r="AY275" s="1"/>
  <c r="AL274"/>
  <c r="AH274"/>
  <c r="V274"/>
  <c r="AZ274" s="1"/>
  <c r="R274"/>
  <c r="AY274" s="1"/>
  <c r="AL273"/>
  <c r="AH273"/>
  <c r="V273"/>
  <c r="AZ273" s="1"/>
  <c r="R273"/>
  <c r="AY273" s="1"/>
  <c r="AL272"/>
  <c r="AH272"/>
  <c r="V272"/>
  <c r="AZ272" s="1"/>
  <c r="R272"/>
  <c r="AY272" s="1"/>
  <c r="AL271"/>
  <c r="AH271"/>
  <c r="V271"/>
  <c r="AZ271" s="1"/>
  <c r="R271"/>
  <c r="AY271" s="1"/>
  <c r="AL270"/>
  <c r="AH270"/>
  <c r="V270"/>
  <c r="AZ270" s="1"/>
  <c r="R270"/>
  <c r="AY270" s="1"/>
  <c r="AL269"/>
  <c r="AH269"/>
  <c r="V269"/>
  <c r="AZ269" s="1"/>
  <c r="R269"/>
  <c r="AY269" s="1"/>
  <c r="AL268"/>
  <c r="AH268"/>
  <c r="V268"/>
  <c r="AZ268" s="1"/>
  <c r="R268"/>
  <c r="AY268" s="1"/>
  <c r="AL267"/>
  <c r="AH267"/>
  <c r="V267"/>
  <c r="AZ267" s="1"/>
  <c r="R267"/>
  <c r="AY267" s="1"/>
  <c r="AL266"/>
  <c r="AH266"/>
  <c r="V266"/>
  <c r="AZ266" s="1"/>
  <c r="R266"/>
  <c r="AY266" s="1"/>
  <c r="AL265"/>
  <c r="AH265"/>
  <c r="V265"/>
  <c r="AZ265" s="1"/>
  <c r="R265"/>
  <c r="AY265" s="1"/>
  <c r="AL264"/>
  <c r="AZ264" s="1"/>
  <c r="AH150"/>
  <c r="AY150" s="1"/>
  <c r="AF150"/>
  <c r="AH149"/>
  <c r="AY149" s="1"/>
  <c r="AF149"/>
  <c r="AH148"/>
  <c r="AY148" s="1"/>
  <c r="AF148"/>
  <c r="AH147"/>
  <c r="AY147" s="1"/>
  <c r="AF147"/>
  <c r="AL146"/>
  <c r="AJ146"/>
  <c r="AH145"/>
  <c r="AY145" s="1"/>
  <c r="AF145"/>
  <c r="AH144"/>
  <c r="AY144" s="1"/>
  <c r="AF144"/>
  <c r="AL143"/>
  <c r="AJ143"/>
  <c r="V143"/>
  <c r="AZ143" s="1"/>
  <c r="T143"/>
  <c r="AL142"/>
  <c r="AJ142"/>
  <c r="V142"/>
  <c r="AZ142" s="1"/>
  <c r="T142"/>
  <c r="AL141"/>
  <c r="AJ141"/>
  <c r="V141"/>
  <c r="AZ141" s="1"/>
  <c r="T141"/>
  <c r="AL140"/>
  <c r="AJ140"/>
  <c r="AL139"/>
  <c r="AJ139"/>
  <c r="V139"/>
  <c r="T139"/>
  <c r="AL138"/>
  <c r="AJ138"/>
  <c r="AH137"/>
  <c r="AF137"/>
  <c r="AL136"/>
  <c r="AJ136"/>
  <c r="AH123"/>
  <c r="AY123" s="1"/>
  <c r="AF123"/>
  <c r="AL122"/>
  <c r="AJ122"/>
  <c r="AH121"/>
  <c r="AY121" s="1"/>
  <c r="AF121"/>
  <c r="AL120"/>
  <c r="AJ120"/>
  <c r="AH91"/>
  <c r="AF91"/>
  <c r="R91"/>
  <c r="AY91" s="1"/>
  <c r="P91"/>
  <c r="AH90"/>
  <c r="AF90"/>
  <c r="R90"/>
  <c r="AY90" s="1"/>
  <c r="P90"/>
  <c r="AH89"/>
  <c r="AF89"/>
  <c r="R89"/>
  <c r="AY89" s="1"/>
  <c r="P89"/>
  <c r="AH88"/>
  <c r="AF88"/>
  <c r="R88"/>
  <c r="AY88" s="1"/>
  <c r="P88"/>
  <c r="AH87"/>
  <c r="AF87"/>
  <c r="R87"/>
  <c r="AY87" s="1"/>
  <c r="P87"/>
  <c r="AH86"/>
  <c r="AF86"/>
  <c r="R86"/>
  <c r="AY86" s="1"/>
  <c r="P86"/>
  <c r="AH85"/>
  <c r="AF85"/>
  <c r="R85"/>
  <c r="AY85" s="1"/>
  <c r="P85"/>
  <c r="AH84"/>
  <c r="AF84"/>
  <c r="R84"/>
  <c r="AY84" s="1"/>
  <c r="P84"/>
  <c r="AH83"/>
  <c r="AF83"/>
  <c r="R83"/>
  <c r="AY83" s="1"/>
  <c r="P83"/>
  <c r="AH82"/>
  <c r="AF82"/>
  <c r="R82"/>
  <c r="AY82" s="1"/>
  <c r="P82"/>
  <c r="AH81"/>
  <c r="AF81"/>
  <c r="R81"/>
  <c r="AY81" s="1"/>
  <c r="P81"/>
  <c r="AH80"/>
  <c r="AY80" s="1"/>
  <c r="AF80"/>
  <c r="AH79"/>
  <c r="AF79"/>
  <c r="AL78"/>
  <c r="AJ78"/>
  <c r="AL77"/>
  <c r="AJ77"/>
  <c r="AL76"/>
  <c r="AZ76" s="1"/>
  <c r="AJ76"/>
  <c r="AL75"/>
  <c r="AJ75"/>
  <c r="V75"/>
  <c r="AZ75" s="1"/>
  <c r="T75"/>
  <c r="AL74"/>
  <c r="AJ74"/>
  <c r="V74"/>
  <c r="AZ74" s="1"/>
  <c r="T74"/>
  <c r="AL73"/>
  <c r="AJ73"/>
  <c r="V73"/>
  <c r="AZ73" s="1"/>
  <c r="T73"/>
  <c r="AL72"/>
  <c r="AJ72"/>
  <c r="V72"/>
  <c r="AZ72" s="1"/>
  <c r="T72"/>
  <c r="AL71"/>
  <c r="AJ71"/>
  <c r="V71"/>
  <c r="AZ71" s="1"/>
  <c r="T71"/>
  <c r="AL70"/>
  <c r="AJ70"/>
  <c r="V70"/>
  <c r="AZ70" s="1"/>
  <c r="T70"/>
  <c r="AL69"/>
  <c r="AJ69"/>
  <c r="V69"/>
  <c r="AZ69" s="1"/>
  <c r="T69"/>
  <c r="AL68"/>
  <c r="AJ68"/>
  <c r="V68"/>
  <c r="AZ68" s="1"/>
  <c r="T68"/>
  <c r="AL67"/>
  <c r="AJ67"/>
  <c r="V67"/>
  <c r="AZ67" s="1"/>
  <c r="T67"/>
  <c r="AL66"/>
  <c r="AJ66"/>
  <c r="V66"/>
  <c r="AZ66" s="1"/>
  <c r="T66"/>
  <c r="AL65"/>
  <c r="AJ65"/>
  <c r="V65"/>
  <c r="AZ65" s="1"/>
  <c r="T65"/>
  <c r="AL64"/>
  <c r="AJ64"/>
  <c r="V64"/>
  <c r="AZ64" s="1"/>
  <c r="T64"/>
  <c r="AL63"/>
  <c r="AJ63"/>
  <c r="V63"/>
  <c r="AZ63" s="1"/>
  <c r="T63"/>
  <c r="AL62"/>
  <c r="AJ62"/>
  <c r="V62"/>
  <c r="AZ62" s="1"/>
  <c r="T62"/>
  <c r="AL61"/>
  <c r="AJ61"/>
  <c r="V61"/>
  <c r="AZ61" s="1"/>
  <c r="T61"/>
  <c r="AL60"/>
  <c r="AJ60"/>
  <c r="V60"/>
  <c r="AZ60" s="1"/>
  <c r="T60"/>
  <c r="AL59"/>
  <c r="AJ59"/>
  <c r="V59"/>
  <c r="AZ59" s="1"/>
  <c r="T59"/>
  <c r="AL58"/>
  <c r="AJ58"/>
  <c r="V58"/>
  <c r="AZ58" s="1"/>
  <c r="T58"/>
  <c r="AL57"/>
  <c r="AJ57"/>
  <c r="V57"/>
  <c r="AZ57" s="1"/>
  <c r="T57"/>
  <c r="AL56"/>
  <c r="AJ56"/>
  <c r="V56"/>
  <c r="AZ56" s="1"/>
  <c r="T56"/>
  <c r="AL55"/>
  <c r="AJ55"/>
  <c r="V55"/>
  <c r="AZ55" s="1"/>
  <c r="T55"/>
  <c r="AL54"/>
  <c r="AJ54"/>
  <c r="V54"/>
  <c r="AZ54" s="1"/>
  <c r="T54"/>
  <c r="AL53"/>
  <c r="AJ53"/>
  <c r="V53"/>
  <c r="AZ53" s="1"/>
  <c r="T53"/>
  <c r="AL52"/>
  <c r="AJ52"/>
  <c r="V52"/>
  <c r="AZ52" s="1"/>
  <c r="T52"/>
  <c r="AL51"/>
  <c r="AJ51"/>
  <c r="V51"/>
  <c r="AZ51" s="1"/>
  <c r="T51"/>
  <c r="AL50"/>
  <c r="AJ50"/>
  <c r="V50"/>
  <c r="AZ50" s="1"/>
  <c r="T50"/>
  <c r="AL49"/>
  <c r="AJ49"/>
  <c r="V49"/>
  <c r="AZ49" s="1"/>
  <c r="T49"/>
  <c r="AL48"/>
  <c r="AJ48"/>
  <c r="V48"/>
  <c r="AZ48" s="1"/>
  <c r="T48"/>
  <c r="AL47"/>
  <c r="AZ47" s="1"/>
  <c r="AJ47"/>
  <c r="AL46"/>
  <c r="AJ46"/>
  <c r="V46"/>
  <c r="AZ46" s="1"/>
  <c r="T46"/>
  <c r="AL45"/>
  <c r="AJ45"/>
  <c r="V45"/>
  <c r="AZ45" s="1"/>
  <c r="T45"/>
  <c r="AL44"/>
  <c r="AJ44"/>
  <c r="V44"/>
  <c r="AZ44" s="1"/>
  <c r="T44"/>
  <c r="AL43"/>
  <c r="AZ43" s="1"/>
  <c r="AJ43"/>
  <c r="AL42"/>
  <c r="AZ42" s="1"/>
  <c r="AJ42"/>
  <c r="AL41"/>
  <c r="AZ41" s="1"/>
  <c r="AJ41"/>
  <c r="AL40"/>
  <c r="AZ40" s="1"/>
  <c r="AJ40"/>
  <c r="AL39"/>
  <c r="AZ39" s="1"/>
  <c r="AJ39"/>
  <c r="AL38"/>
  <c r="AZ38" s="1"/>
  <c r="AJ38"/>
  <c r="AL37"/>
  <c r="AZ37" s="1"/>
  <c r="AJ37"/>
  <c r="AL36"/>
  <c r="AZ36" s="1"/>
  <c r="AJ36"/>
  <c r="AL35"/>
  <c r="AZ35" s="1"/>
  <c r="AJ35"/>
  <c r="AL34"/>
  <c r="AZ34" s="1"/>
  <c r="AJ34"/>
  <c r="AL33"/>
  <c r="AZ33" s="1"/>
  <c r="AJ33"/>
  <c r="AL32"/>
  <c r="AZ32" s="1"/>
  <c r="AJ32"/>
  <c r="AL31"/>
  <c r="AZ31" s="1"/>
  <c r="AJ31"/>
  <c r="AL30"/>
  <c r="AZ30" s="1"/>
  <c r="AJ30"/>
  <c r="AL29"/>
  <c r="AZ29" s="1"/>
  <c r="AJ29"/>
  <c r="AL28"/>
  <c r="AZ28" s="1"/>
  <c r="AJ28"/>
  <c r="AL27"/>
  <c r="AZ27" s="1"/>
  <c r="AJ27"/>
  <c r="AL26"/>
  <c r="AZ26" s="1"/>
  <c r="AJ26"/>
  <c r="AL25"/>
  <c r="AZ25" s="1"/>
  <c r="AJ25"/>
  <c r="AL24"/>
  <c r="AZ24" s="1"/>
  <c r="AJ24"/>
  <c r="AL23"/>
  <c r="AZ23" s="1"/>
  <c r="AJ23"/>
  <c r="AL22"/>
  <c r="AZ22" s="1"/>
  <c r="AJ22"/>
  <c r="AL21"/>
  <c r="AZ21" s="1"/>
  <c r="AJ21"/>
  <c r="AL20"/>
  <c r="AZ20" s="1"/>
  <c r="AJ20"/>
  <c r="AL19"/>
  <c r="AZ19" s="1"/>
  <c r="AJ19"/>
  <c r="AL18"/>
  <c r="AZ18" s="1"/>
  <c r="AJ18"/>
  <c r="AL17"/>
  <c r="AZ17" s="1"/>
  <c r="AJ17"/>
  <c r="AL16"/>
  <c r="AZ16" s="1"/>
  <c r="AJ16"/>
  <c r="AL15"/>
  <c r="AZ15" s="1"/>
  <c r="AJ15"/>
  <c r="AL14"/>
  <c r="AZ14" s="1"/>
  <c r="AJ14"/>
  <c r="AL13"/>
  <c r="AZ13" s="1"/>
  <c r="AJ13"/>
  <c r="AL12"/>
  <c r="AZ12" s="1"/>
  <c r="AJ12"/>
  <c r="AL11"/>
  <c r="AZ11" s="1"/>
  <c r="AJ11"/>
  <c r="AL10"/>
  <c r="AZ10" s="1"/>
  <c r="AJ10"/>
  <c r="AL9"/>
  <c r="AZ9" s="1"/>
  <c r="AJ9"/>
  <c r="AL8"/>
  <c r="AZ8" s="1"/>
  <c r="AJ8"/>
  <c r="AL7"/>
  <c r="AZ7" s="1"/>
  <c r="AJ7"/>
  <c r="AL6"/>
  <c r="AZ6" s="1"/>
  <c r="AJ6"/>
  <c r="AH210"/>
  <c r="AF210"/>
  <c r="AL173"/>
  <c r="AJ173"/>
  <c r="V173"/>
  <c r="AZ173" s="1"/>
  <c r="T173"/>
  <c r="AL172"/>
  <c r="AJ172"/>
  <c r="V172"/>
  <c r="AZ172" s="1"/>
  <c r="T172"/>
  <c r="AL171"/>
  <c r="AJ171"/>
  <c r="V171"/>
  <c r="AZ171" s="1"/>
  <c r="T171"/>
  <c r="AL170"/>
  <c r="AJ170"/>
  <c r="V170"/>
  <c r="AZ170" s="1"/>
  <c r="T170"/>
  <c r="AL169"/>
  <c r="AJ169"/>
  <c r="V169"/>
  <c r="AZ169" s="1"/>
  <c r="T169"/>
  <c r="AL168"/>
  <c r="AJ168"/>
  <c r="V168"/>
  <c r="AZ168" s="1"/>
  <c r="T168"/>
  <c r="AL167"/>
  <c r="AJ167"/>
  <c r="V167"/>
  <c r="AZ167" s="1"/>
  <c r="T167"/>
  <c r="AL166"/>
  <c r="AJ166"/>
  <c r="V166"/>
  <c r="AZ166" s="1"/>
  <c r="T166"/>
  <c r="AL165"/>
  <c r="AJ165"/>
  <c r="V165"/>
  <c r="AZ165" s="1"/>
  <c r="T165"/>
  <c r="AL164"/>
  <c r="AJ164"/>
  <c r="V164"/>
  <c r="AZ164" s="1"/>
  <c r="T164"/>
  <c r="AL163"/>
  <c r="AJ163"/>
  <c r="V163"/>
  <c r="AZ163" s="1"/>
  <c r="T163"/>
  <c r="AL162"/>
  <c r="AJ162"/>
  <c r="V162"/>
  <c r="AZ162" s="1"/>
  <c r="T162"/>
  <c r="AL161"/>
  <c r="AJ161"/>
  <c r="V161"/>
  <c r="AZ161" s="1"/>
  <c r="T161"/>
  <c r="AL160"/>
  <c r="AJ160"/>
  <c r="V160"/>
  <c r="AZ160" s="1"/>
  <c r="T160"/>
  <c r="AL159"/>
  <c r="AJ159"/>
  <c r="V159"/>
  <c r="AZ159" s="1"/>
  <c r="T159"/>
  <c r="AL158"/>
  <c r="AJ158"/>
  <c r="V158"/>
  <c r="AZ158" s="1"/>
  <c r="T158"/>
  <c r="AL157"/>
  <c r="AJ157"/>
  <c r="V157"/>
  <c r="AZ157" s="1"/>
  <c r="T157"/>
  <c r="AL156"/>
  <c r="AJ156"/>
  <c r="V156"/>
  <c r="AZ156" s="1"/>
  <c r="T156"/>
  <c r="AL155"/>
  <c r="AJ155"/>
  <c r="V155"/>
  <c r="AZ155" s="1"/>
  <c r="T155"/>
  <c r="AL154"/>
  <c r="AJ154"/>
  <c r="V154"/>
  <c r="AZ154" s="1"/>
  <c r="T154"/>
  <c r="AL153"/>
  <c r="AJ153"/>
  <c r="V153"/>
  <c r="AZ153" s="1"/>
  <c r="T153"/>
  <c r="AL152"/>
  <c r="AJ152"/>
  <c r="V152"/>
  <c r="AZ152" s="1"/>
  <c r="T152"/>
  <c r="AL151"/>
  <c r="AJ151"/>
  <c r="V151"/>
  <c r="AZ151" s="1"/>
  <c r="T151"/>
  <c r="AL150"/>
  <c r="AJ150"/>
  <c r="V150"/>
  <c r="AZ150" s="1"/>
  <c r="T150"/>
  <c r="AL149"/>
  <c r="AJ149"/>
  <c r="V149"/>
  <c r="AZ149" s="1"/>
  <c r="T149"/>
  <c r="AL148"/>
  <c r="AJ148"/>
  <c r="V148"/>
  <c r="AZ148" s="1"/>
  <c r="T148"/>
  <c r="AL147"/>
  <c r="AJ147"/>
  <c r="AH146"/>
  <c r="AY146" s="1"/>
  <c r="AF146"/>
  <c r="AL145"/>
  <c r="AJ145"/>
  <c r="V145"/>
  <c r="AZ145" s="1"/>
  <c r="T145"/>
  <c r="AL144"/>
  <c r="AJ144"/>
  <c r="AH143"/>
  <c r="AY143" s="1"/>
  <c r="AF143"/>
  <c r="AH142"/>
  <c r="AY142" s="1"/>
  <c r="AF142"/>
  <c r="AH141"/>
  <c r="AY141" s="1"/>
  <c r="AF141"/>
  <c r="AH140"/>
  <c r="AY140" s="1"/>
  <c r="AF140"/>
  <c r="AH139"/>
  <c r="AF139"/>
  <c r="AH138"/>
  <c r="AF138"/>
  <c r="AL137"/>
  <c r="AJ137"/>
  <c r="AH136"/>
  <c r="AY136" s="1"/>
  <c r="AF136"/>
  <c r="AH124"/>
  <c r="AF124"/>
  <c r="AL123"/>
  <c r="AJ123"/>
  <c r="AH122"/>
  <c r="AY122" s="1"/>
  <c r="AF122"/>
  <c r="AL121"/>
  <c r="AJ121"/>
  <c r="AH120"/>
  <c r="AY120" s="1"/>
  <c r="AF120"/>
  <c r="AL119"/>
  <c r="AJ119"/>
  <c r="V119"/>
  <c r="AZ119" s="1"/>
  <c r="T119"/>
  <c r="AL118"/>
  <c r="AJ118"/>
  <c r="V118"/>
  <c r="AZ118" s="1"/>
  <c r="T118"/>
  <c r="AL117"/>
  <c r="AJ117"/>
  <c r="V117"/>
  <c r="AZ117" s="1"/>
  <c r="T117"/>
  <c r="AL116"/>
  <c r="AJ116"/>
  <c r="V116"/>
  <c r="AZ116" s="1"/>
  <c r="T116"/>
  <c r="AL115"/>
  <c r="AJ115"/>
  <c r="V115"/>
  <c r="AZ115" s="1"/>
  <c r="T115"/>
  <c r="AL114"/>
  <c r="AJ114"/>
  <c r="V114"/>
  <c r="AZ114" s="1"/>
  <c r="T114"/>
  <c r="AL113"/>
  <c r="AJ113"/>
  <c r="V113"/>
  <c r="AZ113" s="1"/>
  <c r="T113"/>
  <c r="AL112"/>
  <c r="AJ112"/>
  <c r="V112"/>
  <c r="AZ112" s="1"/>
  <c r="T112"/>
  <c r="AL111"/>
  <c r="AJ111"/>
  <c r="V111"/>
  <c r="AZ111" s="1"/>
  <c r="T111"/>
  <c r="AL110"/>
  <c r="AJ110"/>
  <c r="V110"/>
  <c r="AZ110" s="1"/>
  <c r="T110"/>
  <c r="AL109"/>
  <c r="AJ109"/>
  <c r="V109"/>
  <c r="AZ109" s="1"/>
  <c r="T109"/>
  <c r="AL108"/>
  <c r="AJ108"/>
  <c r="V108"/>
  <c r="AZ108" s="1"/>
  <c r="T108"/>
  <c r="AL107"/>
  <c r="AJ107"/>
  <c r="V107"/>
  <c r="AZ107" s="1"/>
  <c r="T107"/>
  <c r="AL106"/>
  <c r="AJ106"/>
  <c r="V106"/>
  <c r="AZ106" s="1"/>
  <c r="T106"/>
  <c r="AL105"/>
  <c r="AJ105"/>
  <c r="V105"/>
  <c r="AZ105" s="1"/>
  <c r="T105"/>
  <c r="AL104"/>
  <c r="AJ104"/>
  <c r="V104"/>
  <c r="AZ104" s="1"/>
  <c r="T104"/>
  <c r="AL103"/>
  <c r="AJ103"/>
  <c r="V103"/>
  <c r="AZ103" s="1"/>
  <c r="T103"/>
  <c r="AL102"/>
  <c r="AJ102"/>
  <c r="V102"/>
  <c r="AZ102" s="1"/>
  <c r="T102"/>
  <c r="AL101"/>
  <c r="AJ101"/>
  <c r="V101"/>
  <c r="AZ101" s="1"/>
  <c r="T101"/>
  <c r="AL100"/>
  <c r="AJ100"/>
  <c r="V100"/>
  <c r="AZ100" s="1"/>
  <c r="T100"/>
  <c r="AL99"/>
  <c r="AJ99"/>
  <c r="V99"/>
  <c r="AZ99" s="1"/>
  <c r="T99"/>
  <c r="AL98"/>
  <c r="AJ98"/>
  <c r="V98"/>
  <c r="AZ98" s="1"/>
  <c r="T98"/>
  <c r="AL97"/>
  <c r="AJ97"/>
  <c r="V97"/>
  <c r="AZ97" s="1"/>
  <c r="T97"/>
  <c r="AL96"/>
  <c r="AJ96"/>
  <c r="V96"/>
  <c r="AZ96" s="1"/>
  <c r="T96"/>
  <c r="AL95"/>
  <c r="AJ95"/>
  <c r="V95"/>
  <c r="AZ95" s="1"/>
  <c r="T95"/>
  <c r="AL94"/>
  <c r="AJ94"/>
  <c r="V94"/>
  <c r="AZ94" s="1"/>
  <c r="T94"/>
  <c r="AL93"/>
  <c r="AJ93"/>
  <c r="V93"/>
  <c r="AZ93" s="1"/>
  <c r="T93"/>
  <c r="AL92"/>
  <c r="AJ92"/>
  <c r="V92"/>
  <c r="AZ92" s="1"/>
  <c r="T92"/>
  <c r="AL91"/>
  <c r="AJ91"/>
  <c r="V91"/>
  <c r="AZ91" s="1"/>
  <c r="T91"/>
  <c r="AL90"/>
  <c r="AJ90"/>
  <c r="V90"/>
  <c r="AZ90" s="1"/>
  <c r="T90"/>
  <c r="AL89"/>
  <c r="AJ89"/>
  <c r="V89"/>
  <c r="AZ89" s="1"/>
  <c r="T89"/>
  <c r="AL88"/>
  <c r="AJ88"/>
  <c r="V88"/>
  <c r="AZ88" s="1"/>
  <c r="T88"/>
  <c r="AL87"/>
  <c r="AJ87"/>
  <c r="V87"/>
  <c r="AZ87" s="1"/>
  <c r="T87"/>
  <c r="AL86"/>
  <c r="AJ86"/>
  <c r="V86"/>
  <c r="AZ86" s="1"/>
  <c r="T86"/>
  <c r="AL85"/>
  <c r="AJ85"/>
  <c r="V85"/>
  <c r="AZ85" s="1"/>
  <c r="T85"/>
  <c r="AL84"/>
  <c r="AJ84"/>
  <c r="V84"/>
  <c r="AZ84" s="1"/>
  <c r="T84"/>
  <c r="AL83"/>
  <c r="AJ83"/>
  <c r="V83"/>
  <c r="AZ83" s="1"/>
  <c r="T83"/>
  <c r="AL82"/>
  <c r="AJ82"/>
  <c r="V82"/>
  <c r="AZ82" s="1"/>
  <c r="T82"/>
  <c r="AL81"/>
  <c r="AJ81"/>
  <c r="V81"/>
  <c r="AZ81" s="1"/>
  <c r="T81"/>
  <c r="AL80"/>
  <c r="AZ80" s="1"/>
  <c r="AJ80"/>
  <c r="AL79"/>
  <c r="AJ79"/>
  <c r="AH78"/>
  <c r="AF78"/>
  <c r="AH77"/>
  <c r="AF77"/>
  <c r="AH76"/>
  <c r="AY76" s="1"/>
  <c r="AF76"/>
  <c r="AH75"/>
  <c r="AF75"/>
  <c r="R75"/>
  <c r="AY75" s="1"/>
  <c r="P75"/>
  <c r="AH74"/>
  <c r="AF74"/>
  <c r="R74"/>
  <c r="AY74" s="1"/>
  <c r="P74"/>
  <c r="AH73"/>
  <c r="AF73"/>
  <c r="R73"/>
  <c r="AY73" s="1"/>
  <c r="P73"/>
  <c r="AH72"/>
  <c r="AF72"/>
  <c r="R72"/>
  <c r="AY72" s="1"/>
  <c r="P72"/>
  <c r="AH71"/>
  <c r="AF71"/>
  <c r="R71"/>
  <c r="AY71" s="1"/>
  <c r="P71"/>
  <c r="AH70"/>
  <c r="AF70"/>
  <c r="R70"/>
  <c r="AY70" s="1"/>
  <c r="P70"/>
  <c r="AH69"/>
  <c r="AF69"/>
  <c r="R69"/>
  <c r="AY69" s="1"/>
  <c r="P69"/>
  <c r="AH68"/>
  <c r="AF68"/>
  <c r="R68"/>
  <c r="AY68" s="1"/>
  <c r="P68"/>
  <c r="AH67"/>
  <c r="AF67"/>
  <c r="R67"/>
  <c r="AY67" s="1"/>
  <c r="P67"/>
  <c r="AH66"/>
  <c r="AF66"/>
  <c r="R66"/>
  <c r="AY66" s="1"/>
  <c r="P66"/>
  <c r="AH65"/>
  <c r="AF65"/>
  <c r="R65"/>
  <c r="AY65" s="1"/>
  <c r="P65"/>
  <c r="AH64"/>
  <c r="AF64"/>
  <c r="R64"/>
  <c r="AY64" s="1"/>
  <c r="P64"/>
  <c r="AH63"/>
  <c r="AF63"/>
  <c r="R63"/>
  <c r="AY63" s="1"/>
  <c r="P63"/>
  <c r="AH62"/>
  <c r="AF62"/>
  <c r="R62"/>
  <c r="AY62" s="1"/>
  <c r="P62"/>
  <c r="AH61"/>
  <c r="AF61"/>
  <c r="R61"/>
  <c r="AY61" s="1"/>
  <c r="P61"/>
  <c r="AH60"/>
  <c r="AF60"/>
  <c r="R60"/>
  <c r="AY60" s="1"/>
  <c r="P60"/>
  <c r="AH59"/>
  <c r="AF59"/>
  <c r="R59"/>
  <c r="AY59" s="1"/>
  <c r="P59"/>
  <c r="AH58"/>
  <c r="AF58"/>
  <c r="R58"/>
  <c r="AY58" s="1"/>
  <c r="P58"/>
  <c r="AH57"/>
  <c r="AF57"/>
  <c r="R57"/>
  <c r="AY57" s="1"/>
  <c r="P57"/>
  <c r="AH56"/>
  <c r="AF56"/>
  <c r="R56"/>
  <c r="AY56" s="1"/>
  <c r="P56"/>
  <c r="AH55"/>
  <c r="AF55"/>
  <c r="R55"/>
  <c r="AY55" s="1"/>
  <c r="P55"/>
  <c r="AH54"/>
  <c r="AF54"/>
  <c r="R54"/>
  <c r="AY54" s="1"/>
  <c r="P54"/>
  <c r="AH53"/>
  <c r="AF53"/>
  <c r="R53"/>
  <c r="AY53" s="1"/>
  <c r="P53"/>
  <c r="AH52"/>
  <c r="AF52"/>
  <c r="R52"/>
  <c r="AY52" s="1"/>
  <c r="P52"/>
  <c r="AH51"/>
  <c r="AF51"/>
  <c r="R51"/>
  <c r="AY51" s="1"/>
  <c r="P51"/>
  <c r="AH50"/>
  <c r="AF50"/>
  <c r="R50"/>
  <c r="AY50" s="1"/>
  <c r="P50"/>
  <c r="AH49"/>
  <c r="AF49"/>
  <c r="R49"/>
  <c r="AY49" s="1"/>
  <c r="P49"/>
  <c r="AH48"/>
  <c r="AF48"/>
  <c r="R48"/>
  <c r="AY48" s="1"/>
  <c r="P48"/>
  <c r="AH47"/>
  <c r="AF47"/>
  <c r="R47"/>
  <c r="AY47" s="1"/>
  <c r="P47"/>
  <c r="AH46"/>
  <c r="AF46"/>
  <c r="R46"/>
  <c r="AY46" s="1"/>
  <c r="P46"/>
  <c r="AH45"/>
  <c r="AF45"/>
  <c r="R45"/>
  <c r="AY45" s="1"/>
  <c r="P45"/>
  <c r="AH44"/>
  <c r="AF44"/>
  <c r="R44"/>
  <c r="AY44" s="1"/>
  <c r="P44"/>
  <c r="AH43"/>
  <c r="AY43" s="1"/>
  <c r="AF43"/>
  <c r="AH42"/>
  <c r="AY42" s="1"/>
  <c r="AF42"/>
  <c r="AH41"/>
  <c r="AY41" s="1"/>
  <c r="AF41"/>
  <c r="AH40"/>
  <c r="AY40" s="1"/>
  <c r="AF40"/>
  <c r="AH39"/>
  <c r="AY39" s="1"/>
  <c r="AF39"/>
  <c r="AH38"/>
  <c r="AY38" s="1"/>
  <c r="AF38"/>
  <c r="AH37"/>
  <c r="AY37" s="1"/>
  <c r="AF37"/>
  <c r="AH36"/>
  <c r="AY36" s="1"/>
  <c r="AF36"/>
  <c r="AH35"/>
  <c r="AY35" s="1"/>
  <c r="AF35"/>
  <c r="AH34"/>
  <c r="AY34" s="1"/>
  <c r="AF34"/>
  <c r="AH33"/>
  <c r="AY33" s="1"/>
  <c r="AF33"/>
  <c r="AH32"/>
  <c r="AY32" s="1"/>
  <c r="AF32"/>
  <c r="AH31"/>
  <c r="AY31" s="1"/>
  <c r="AF31"/>
  <c r="AH30"/>
  <c r="AY30" s="1"/>
  <c r="AF30"/>
  <c r="AH29"/>
  <c r="AY29" s="1"/>
  <c r="AF29"/>
  <c r="AH28"/>
  <c r="AY28" s="1"/>
  <c r="AF28"/>
  <c r="AH27"/>
  <c r="AY27" s="1"/>
  <c r="AF27"/>
  <c r="AH26"/>
  <c r="AY26" s="1"/>
  <c r="AF26"/>
  <c r="AH25"/>
  <c r="AY25" s="1"/>
  <c r="AF25"/>
  <c r="AH24"/>
  <c r="AY24" s="1"/>
  <c r="AF24"/>
  <c r="AH23"/>
  <c r="AY23" s="1"/>
  <c r="AF23"/>
  <c r="AH22"/>
  <c r="AY22" s="1"/>
  <c r="AF22"/>
  <c r="AH21"/>
  <c r="AY21" s="1"/>
  <c r="AF21"/>
  <c r="AH20"/>
  <c r="AY20" s="1"/>
  <c r="AF20"/>
  <c r="AH19"/>
  <c r="AY19" s="1"/>
  <c r="AF19"/>
  <c r="AH18"/>
  <c r="AY18" s="1"/>
  <c r="AF18"/>
  <c r="AH17"/>
  <c r="AY17" s="1"/>
  <c r="AF17"/>
  <c r="AH16"/>
  <c r="AY16" s="1"/>
  <c r="AF16"/>
  <c r="AH15"/>
  <c r="AY15" s="1"/>
  <c r="AF15"/>
  <c r="AH14"/>
  <c r="AY14" s="1"/>
  <c r="AF14"/>
  <c r="AH13"/>
  <c r="AY13" s="1"/>
  <c r="AF13"/>
  <c r="AH12"/>
  <c r="AY12" s="1"/>
  <c r="AF12"/>
  <c r="AH11"/>
  <c r="AY11" s="1"/>
  <c r="AF11"/>
  <c r="AH10"/>
  <c r="AY10" s="1"/>
  <c r="AF10"/>
  <c r="AH9"/>
  <c r="AY9" s="1"/>
  <c r="AF9"/>
  <c r="AH8"/>
  <c r="AY8" s="1"/>
  <c r="AF8"/>
  <c r="AH7"/>
  <c r="AY7" s="1"/>
  <c r="AF7"/>
  <c r="AH6"/>
  <c r="AY6" s="1"/>
  <c r="AF6"/>
  <c r="AL210"/>
  <c r="AJ210"/>
  <c r="AY137"/>
  <c r="AL135"/>
  <c r="AH135"/>
  <c r="AY135" s="1"/>
  <c r="AL134"/>
  <c r="AH134"/>
  <c r="AY134" s="1"/>
  <c r="AL133"/>
  <c r="AZ133" s="1"/>
  <c r="AH133"/>
  <c r="AY133" s="1"/>
  <c r="AL132"/>
  <c r="AH132"/>
  <c r="AY132" s="1"/>
  <c r="AL131"/>
  <c r="AH131"/>
  <c r="AY131" s="1"/>
  <c r="AL130"/>
  <c r="AH130"/>
  <c r="AY130" s="1"/>
  <c r="AL129"/>
  <c r="AH129"/>
  <c r="AY129" s="1"/>
  <c r="AL128"/>
  <c r="AH128"/>
  <c r="AY128" s="1"/>
  <c r="AL127"/>
  <c r="AH127"/>
  <c r="AY127" s="1"/>
  <c r="AL126"/>
  <c r="AH126"/>
  <c r="AY126" s="1"/>
  <c r="AL125"/>
  <c r="AH125"/>
  <c r="AY125" s="1"/>
  <c r="AL124"/>
  <c r="AY79"/>
  <c r="AL333"/>
  <c r="AZ333" s="1"/>
  <c r="AJ333"/>
  <c r="AL332"/>
  <c r="AZ332" s="1"/>
  <c r="AJ332"/>
  <c r="AL328"/>
  <c r="AZ328" s="1"/>
  <c r="AJ328"/>
  <c r="AL327"/>
  <c r="AZ327" s="1"/>
  <c r="AJ327"/>
  <c r="AL331"/>
  <c r="AZ331" s="1"/>
  <c r="AJ331"/>
  <c r="AL330"/>
  <c r="AZ330" s="1"/>
  <c r="AJ330"/>
  <c r="AL329"/>
  <c r="AZ329" s="1"/>
  <c r="AJ329"/>
  <c r="AZ139"/>
  <c r="AY138"/>
  <c r="AY139"/>
  <c r="AZ136"/>
  <c r="AZ137"/>
  <c r="AZ138"/>
  <c r="AY726"/>
  <c r="AZ718"/>
  <c r="AY709"/>
  <c r="AY708"/>
  <c r="AY707"/>
  <c r="AZ698"/>
  <c r="AZ697"/>
  <c r="AY691"/>
  <c r="AY690"/>
  <c r="AZ686"/>
  <c r="AZ587"/>
  <c r="AZ582"/>
  <c r="AZ581"/>
  <c r="AZ580"/>
  <c r="AZ579"/>
  <c r="AZ558"/>
  <c r="AZ557"/>
  <c r="AZ556"/>
  <c r="AZ555"/>
  <c r="AZ554"/>
  <c r="AZ553"/>
  <c r="AZ552"/>
  <c r="AZ551"/>
  <c r="AZ503"/>
  <c r="AZ502"/>
  <c r="AZ501"/>
  <c r="AZ500"/>
  <c r="AZ499"/>
  <c r="AZ498"/>
  <c r="AZ497"/>
  <c r="AZ496"/>
  <c r="AZ495"/>
  <c r="AZ494"/>
  <c r="AZ493"/>
  <c r="AZ492"/>
  <c r="AZ491"/>
  <c r="AZ490"/>
  <c r="AZ489"/>
  <c r="AZ488"/>
  <c r="AZ487"/>
  <c r="AZ486"/>
  <c r="AZ485"/>
  <c r="AZ484"/>
  <c r="AZ483"/>
  <c r="AZ482"/>
  <c r="AZ481"/>
  <c r="AZ480"/>
  <c r="AZ479"/>
  <c r="AZ478"/>
  <c r="AZ477"/>
  <c r="AZ476"/>
  <c r="AZ475"/>
  <c r="AZ474"/>
  <c r="AZ473"/>
  <c r="AZ472"/>
  <c r="AZ471"/>
  <c r="AZ470"/>
  <c r="AZ469"/>
  <c r="AZ468"/>
  <c r="AZ467"/>
  <c r="AZ466"/>
  <c r="AZ465"/>
  <c r="AZ464"/>
  <c r="AZ463"/>
  <c r="AZ462"/>
  <c r="AZ461"/>
  <c r="AZ460"/>
  <c r="AZ459"/>
  <c r="AZ458"/>
  <c r="AZ457"/>
  <c r="AZ456"/>
  <c r="AZ455"/>
  <c r="AZ454"/>
  <c r="AZ453"/>
  <c r="AZ452"/>
  <c r="AZ451"/>
  <c r="AZ450"/>
  <c r="AZ449"/>
  <c r="AZ448"/>
  <c r="AZ447"/>
  <c r="AZ446"/>
  <c r="AZ445"/>
  <c r="AZ444"/>
  <c r="AZ443"/>
  <c r="AZ442"/>
  <c r="AZ441"/>
  <c r="AZ440"/>
  <c r="AZ439"/>
  <c r="AZ438"/>
  <c r="AY409"/>
  <c r="AY405"/>
  <c r="AZ397"/>
  <c r="AZ393"/>
  <c r="AZ725"/>
  <c r="AZ724"/>
  <c r="AZ709"/>
  <c r="AZ708"/>
  <c r="AZ707"/>
  <c r="AZ706"/>
  <c r="AY698"/>
  <c r="AY697"/>
  <c r="AZ691"/>
  <c r="AZ690"/>
  <c r="AY686"/>
  <c r="S664"/>
  <c r="V664" s="1"/>
  <c r="AY581"/>
  <c r="AY580"/>
  <c r="AY579"/>
  <c r="AY557"/>
  <c r="AY556"/>
  <c r="AY555"/>
  <c r="AY554"/>
  <c r="AY553"/>
  <c r="AY552"/>
  <c r="AY551"/>
  <c r="AY503"/>
  <c r="AY502"/>
  <c r="AY501"/>
  <c r="AY500"/>
  <c r="AY499"/>
  <c r="AY498"/>
  <c r="AY497"/>
  <c r="AY496"/>
  <c r="AY495"/>
  <c r="AY494"/>
  <c r="AY493"/>
  <c r="AY492"/>
  <c r="AY491"/>
  <c r="AY490"/>
  <c r="AY489"/>
  <c r="AY488"/>
  <c r="AY487"/>
  <c r="AY486"/>
  <c r="AY485"/>
  <c r="AY484"/>
  <c r="AY483"/>
  <c r="AY482"/>
  <c r="AY481"/>
  <c r="AY480"/>
  <c r="AY479"/>
  <c r="AY478"/>
  <c r="AY477"/>
  <c r="AY476"/>
  <c r="AY475"/>
  <c r="AY474"/>
  <c r="AY473"/>
  <c r="AY472"/>
  <c r="AY471"/>
  <c r="AY470"/>
  <c r="AY469"/>
  <c r="AY468"/>
  <c r="AY467"/>
  <c r="AY466"/>
  <c r="AY465"/>
  <c r="AY464"/>
  <c r="AY463"/>
  <c r="AY462"/>
  <c r="AY461"/>
  <c r="AY460"/>
  <c r="AY459"/>
  <c r="AY458"/>
  <c r="AY457"/>
  <c r="AY456"/>
  <c r="AY455"/>
  <c r="AY454"/>
  <c r="AY453"/>
  <c r="AY452"/>
  <c r="AY451"/>
  <c r="AY450"/>
  <c r="AY449"/>
  <c r="AY448"/>
  <c r="AY447"/>
  <c r="AY446"/>
  <c r="AY445"/>
  <c r="AY444"/>
  <c r="AY443"/>
  <c r="AY442"/>
  <c r="AY441"/>
  <c r="AY440"/>
  <c r="AY439"/>
  <c r="AY438"/>
  <c r="AY396"/>
  <c r="AY392"/>
  <c r="AZ720"/>
  <c r="AZ692"/>
  <c r="AZ687"/>
  <c r="AY683"/>
  <c r="X664"/>
  <c r="O659"/>
  <c r="R659" s="1"/>
  <c r="AY659" s="1"/>
  <c r="AY654"/>
  <c r="AZ570"/>
  <c r="AZ569"/>
  <c r="AY560"/>
  <c r="AZ541"/>
  <c r="AZ533"/>
  <c r="AZ525"/>
  <c r="AZ517"/>
  <c r="AZ509"/>
  <c r="S410"/>
  <c r="AY407"/>
  <c r="AY406"/>
  <c r="S406"/>
  <c r="AY404"/>
  <c r="AY403"/>
  <c r="S403"/>
  <c r="AY402"/>
  <c r="AY400"/>
  <c r="S399"/>
  <c r="AZ389"/>
  <c r="AZ383"/>
  <c r="AZ378"/>
  <c r="AZ367"/>
  <c r="AY661"/>
  <c r="O663"/>
  <c r="R663" s="1"/>
  <c r="AY706"/>
  <c r="AZ696"/>
  <c r="AZ689"/>
  <c r="AZ685"/>
  <c r="S663"/>
  <c r="V663" s="1"/>
  <c r="AZ663" s="1"/>
  <c r="W662"/>
  <c r="AE662" s="1"/>
  <c r="AH662" s="1"/>
  <c r="AB662"/>
  <c r="Z662"/>
  <c r="U662"/>
  <c r="AZ650"/>
  <c r="AZ637"/>
  <c r="AZ632"/>
  <c r="AZ618"/>
  <c r="AZ605"/>
  <c r="AZ600"/>
  <c r="AZ595"/>
  <c r="S504"/>
  <c r="AY388"/>
  <c r="AY384"/>
  <c r="AY379"/>
  <c r="AY368"/>
  <c r="AY256"/>
  <c r="AY240"/>
  <c r="AY224"/>
  <c r="AY124"/>
  <c r="AZ282"/>
  <c r="AY77"/>
  <c r="N662"/>
  <c r="S660"/>
  <c r="V660" s="1"/>
  <c r="AZ660" s="1"/>
  <c r="I662"/>
  <c r="O662" s="1"/>
  <c r="R662" s="1"/>
  <c r="AY662" s="1"/>
  <c r="O660"/>
  <c r="R660" s="1"/>
  <c r="Y663"/>
  <c r="AE658"/>
  <c r="AH658" s="1"/>
  <c r="S656"/>
  <c r="V656" s="1"/>
  <c r="H662"/>
  <c r="AE663"/>
  <c r="AH663" s="1"/>
  <c r="AY663" s="1"/>
  <c r="AY666"/>
  <c r="AY665"/>
  <c r="AZ655"/>
  <c r="AY655"/>
  <c r="AZ654"/>
  <c r="AZ653"/>
  <c r="AZ652"/>
  <c r="AZ651"/>
  <c r="AZ649"/>
  <c r="AZ647"/>
  <c r="AZ646"/>
  <c r="AZ645"/>
  <c r="AZ644"/>
  <c r="AZ643"/>
  <c r="AZ642"/>
  <c r="AZ641"/>
  <c r="AZ640"/>
  <c r="AZ639"/>
  <c r="AZ638"/>
  <c r="AZ636"/>
  <c r="AZ635"/>
  <c r="AZ633"/>
  <c r="AZ631"/>
  <c r="AZ630"/>
  <c r="AZ629"/>
  <c r="AZ628"/>
  <c r="AZ627"/>
  <c r="AZ626"/>
  <c r="AZ625"/>
  <c r="AZ624"/>
  <c r="AZ623"/>
  <c r="AZ622"/>
  <c r="AZ620"/>
  <c r="AZ619"/>
  <c r="AZ617"/>
  <c r="AZ615"/>
  <c r="AZ614"/>
  <c r="AZ613"/>
  <c r="AZ612"/>
  <c r="AZ611"/>
  <c r="AZ610"/>
  <c r="AZ609"/>
  <c r="AZ608"/>
  <c r="AZ607"/>
  <c r="AZ606"/>
  <c r="AZ604"/>
  <c r="AZ603"/>
  <c r="AZ601"/>
  <c r="AZ599"/>
  <c r="AZ598"/>
  <c r="AZ597"/>
  <c r="AZ596"/>
  <c r="AZ594"/>
  <c r="AZ593"/>
  <c r="AZ592"/>
  <c r="AZ591"/>
  <c r="AZ590"/>
  <c r="AY590"/>
  <c r="AZ589"/>
  <c r="AY589"/>
  <c r="AZ588"/>
  <c r="AY588"/>
  <c r="AY587"/>
  <c r="AY586"/>
  <c r="AY585"/>
  <c r="AY584"/>
  <c r="AY583"/>
  <c r="AZ577"/>
  <c r="AZ576"/>
  <c r="AZ575"/>
  <c r="AZ574"/>
  <c r="AZ573"/>
  <c r="AZ572"/>
  <c r="AZ571"/>
  <c r="AY571"/>
  <c r="AY570"/>
  <c r="AY569"/>
  <c r="AZ568"/>
  <c r="AY568"/>
  <c r="AZ567"/>
  <c r="AY565"/>
  <c r="AY564"/>
  <c r="AY563"/>
  <c r="AY562"/>
  <c r="AY559"/>
  <c r="AZ550"/>
  <c r="AZ549"/>
  <c r="AZ548"/>
  <c r="AZ547"/>
  <c r="AZ544"/>
  <c r="AZ543"/>
  <c r="AZ542"/>
  <c r="AZ540"/>
  <c r="AZ539"/>
  <c r="AZ538"/>
  <c r="AZ536"/>
  <c r="AZ535"/>
  <c r="AZ534"/>
  <c r="AZ532"/>
  <c r="AZ531"/>
  <c r="AZ530"/>
  <c r="AZ528"/>
  <c r="AZ527"/>
  <c r="AZ526"/>
  <c r="AZ524"/>
  <c r="AZ523"/>
  <c r="AZ522"/>
  <c r="AZ520"/>
  <c r="AZ519"/>
  <c r="AZ518"/>
  <c r="AZ516"/>
  <c r="AZ515"/>
  <c r="AZ514"/>
  <c r="AZ512"/>
  <c r="AZ511"/>
  <c r="AZ510"/>
  <c r="AZ508"/>
  <c r="AZ507"/>
  <c r="AZ506"/>
  <c r="AZ407"/>
  <c r="AZ405"/>
  <c r="AY401"/>
  <c r="AY399"/>
  <c r="AZ398"/>
  <c r="AY398"/>
  <c r="AY397"/>
  <c r="AZ396"/>
  <c r="AZ395"/>
  <c r="AY395"/>
  <c r="AZ394"/>
  <c r="AY394"/>
  <c r="AY393"/>
  <c r="AZ392"/>
  <c r="AZ391"/>
  <c r="AY391"/>
  <c r="AZ390"/>
  <c r="AY390"/>
  <c r="AY389"/>
  <c r="AZ388"/>
  <c r="AZ387"/>
  <c r="AY387"/>
  <c r="AZ386"/>
  <c r="AY386"/>
  <c r="AY385"/>
  <c r="AZ384"/>
  <c r="AY383"/>
  <c r="AZ382"/>
  <c r="AY382"/>
  <c r="AZ381"/>
  <c r="AY381"/>
  <c r="AZ380"/>
  <c r="AY380"/>
  <c r="AZ379"/>
  <c r="AY378"/>
  <c r="AZ377"/>
  <c r="AY377"/>
  <c r="AZ376"/>
  <c r="AY375"/>
  <c r="AZ374"/>
  <c r="AY374"/>
  <c r="AZ373"/>
  <c r="AY373"/>
  <c r="AZ372"/>
  <c r="AY372"/>
  <c r="AZ371"/>
  <c r="AY370"/>
  <c r="AZ369"/>
  <c r="AY369"/>
  <c r="AZ368"/>
  <c r="AY367"/>
  <c r="AZ366"/>
  <c r="AY366"/>
  <c r="AY365"/>
  <c r="AZ365"/>
  <c r="AE660"/>
  <c r="AH660" s="1"/>
  <c r="AZ661"/>
  <c r="AZ726"/>
  <c r="AY725"/>
  <c r="AY724"/>
  <c r="AZ723"/>
  <c r="AY723"/>
  <c r="AZ722"/>
  <c r="AY722"/>
  <c r="AY720"/>
  <c r="AZ719"/>
  <c r="AY719"/>
  <c r="AY718"/>
  <c r="AZ717"/>
  <c r="AY717"/>
  <c r="AZ716"/>
  <c r="AY716"/>
  <c r="AZ715"/>
  <c r="AZ714"/>
  <c r="AZ712"/>
  <c r="AZ711"/>
  <c r="AZ710"/>
  <c r="AI656"/>
  <c r="AL656" s="1"/>
  <c r="X662"/>
  <c r="AZ704"/>
  <c r="AZ703"/>
  <c r="AZ702"/>
  <c r="AZ701"/>
  <c r="AZ700"/>
  <c r="AY682"/>
  <c r="AY680"/>
  <c r="AY678"/>
  <c r="AY676"/>
  <c r="AY674"/>
  <c r="AY672"/>
  <c r="AY670"/>
  <c r="AY668"/>
  <c r="O664"/>
  <c r="R664" s="1"/>
  <c r="AY664" s="1"/>
  <c r="AZ659"/>
  <c r="O658"/>
  <c r="R658" s="1"/>
  <c r="AY658" s="1"/>
  <c r="AE657"/>
  <c r="AH657" s="1"/>
  <c r="AY657" s="1"/>
  <c r="AY710"/>
  <c r="O705"/>
  <c r="R705" s="1"/>
  <c r="AY705" s="1"/>
  <c r="AY699"/>
  <c r="AY696"/>
  <c r="AY692"/>
  <c r="AY689"/>
  <c r="AY687"/>
  <c r="AY685"/>
  <c r="AZ666"/>
  <c r="AD664"/>
  <c r="AB664"/>
  <c r="Z664"/>
  <c r="L662"/>
  <c r="AW276"/>
  <c r="AX276" s="1"/>
  <c r="AZ276" s="1"/>
  <c r="AY232"/>
  <c r="AY582"/>
  <c r="AY558"/>
  <c r="AY248"/>
  <c r="AY78"/>
  <c r="AZ79"/>
  <c r="AZ78"/>
  <c r="AZ77"/>
  <c r="AC170" i="9"/>
  <c r="AC167"/>
  <c r="AE167"/>
  <c r="AB167"/>
  <c r="AB170"/>
  <c r="AD167"/>
  <c r="AE170"/>
  <c r="AD170"/>
  <c r="V504" i="6" l="1"/>
  <c r="AZ504" s="1"/>
  <c r="T504"/>
  <c r="V399"/>
  <c r="AZ399" s="1"/>
  <c r="T399"/>
  <c r="V406"/>
  <c r="AZ406" s="1"/>
  <c r="T406"/>
  <c r="V400"/>
  <c r="AZ400" s="1"/>
  <c r="T400"/>
  <c r="V409"/>
  <c r="AZ409" s="1"/>
  <c r="T409"/>
  <c r="AI664"/>
  <c r="AL664" s="1"/>
  <c r="AZ664" s="1"/>
  <c r="AI662"/>
  <c r="AL662" s="1"/>
  <c r="T656"/>
  <c r="P660"/>
  <c r="P659"/>
  <c r="T660"/>
  <c r="P705"/>
  <c r="P658"/>
  <c r="AZ404"/>
  <c r="V403"/>
  <c r="AZ403" s="1"/>
  <c r="T403"/>
  <c r="V410"/>
  <c r="AZ410" s="1"/>
  <c r="T410"/>
  <c r="V401"/>
  <c r="AZ401" s="1"/>
  <c r="T401"/>
  <c r="AY210"/>
  <c r="AZ210"/>
  <c r="AZ279"/>
  <c r="T659"/>
  <c r="T663"/>
  <c r="P662"/>
  <c r="T664"/>
  <c r="AZ144"/>
  <c r="AZ140"/>
  <c r="AZ131"/>
  <c r="AZ129"/>
  <c r="AZ127"/>
  <c r="AZ125"/>
  <c r="AZ123"/>
  <c r="AZ121"/>
  <c r="AZ147"/>
  <c r="AZ134"/>
  <c r="AZ135"/>
  <c r="AZ402"/>
  <c r="P663"/>
  <c r="P664"/>
  <c r="AZ146"/>
  <c r="AZ132"/>
  <c r="AZ130"/>
  <c r="AZ128"/>
  <c r="AZ126"/>
  <c r="AZ124"/>
  <c r="AZ122"/>
  <c r="AZ120"/>
  <c r="AL181" i="14"/>
  <c r="AF167" i="9"/>
  <c r="AN181" i="14"/>
  <c r="AO181"/>
  <c r="AF170" i="9"/>
  <c r="BA181" i="14"/>
  <c r="AM181"/>
  <c r="BC181"/>
  <c r="BB181"/>
  <c r="BD181"/>
  <c r="S662" i="6"/>
  <c r="V662" s="1"/>
  <c r="AZ662" s="1"/>
  <c r="AY660"/>
  <c r="AZ656"/>
  <c r="T662" l="1"/>
  <c r="W77" i="14"/>
  <c r="F44"/>
  <c r="U87"/>
  <c r="E39"/>
  <c r="D121"/>
  <c r="B46"/>
  <c r="B106"/>
  <c r="F52"/>
  <c r="AA103"/>
  <c r="Y103"/>
  <c r="G54"/>
  <c r="W90"/>
  <c r="Z75"/>
  <c r="W79"/>
  <c r="I110"/>
  <c r="D44"/>
  <c r="H116"/>
  <c r="W104"/>
  <c r="G52"/>
  <c r="F120"/>
  <c r="E58"/>
  <c r="AG132"/>
  <c r="G57"/>
  <c r="Y104"/>
  <c r="AD113"/>
  <c r="B39"/>
  <c r="W89"/>
  <c r="H57"/>
  <c r="E110"/>
  <c r="G118"/>
  <c r="B104"/>
  <c r="C58"/>
  <c r="AC111"/>
  <c r="X106"/>
  <c r="AD109"/>
  <c r="E113"/>
  <c r="F111"/>
  <c r="W82"/>
  <c r="E43"/>
  <c r="AH132"/>
  <c r="W87"/>
  <c r="AA110"/>
  <c r="I116"/>
  <c r="H103"/>
  <c r="Y90"/>
  <c r="W85"/>
  <c r="AA116"/>
  <c r="D113"/>
  <c r="U85"/>
  <c r="Z80"/>
  <c r="H121"/>
  <c r="AC115"/>
  <c r="X120"/>
  <c r="B121"/>
  <c r="U73"/>
  <c r="G58"/>
  <c r="D111"/>
  <c r="X89"/>
  <c r="G114"/>
  <c r="W75"/>
  <c r="Y77"/>
  <c r="E114"/>
  <c r="AB105"/>
  <c r="H54"/>
  <c r="H132"/>
  <c r="AB120"/>
  <c r="C118"/>
  <c r="X70"/>
  <c r="F46"/>
  <c r="F58"/>
  <c r="F54"/>
  <c r="J132"/>
  <c r="I114"/>
  <c r="Z73"/>
  <c r="F114"/>
  <c r="AD114"/>
  <c r="C56"/>
  <c r="AC109"/>
  <c r="C111"/>
  <c r="F48"/>
  <c r="G49"/>
  <c r="Y84"/>
  <c r="V85"/>
  <c r="B103"/>
  <c r="Y87"/>
  <c r="D54"/>
  <c r="H49"/>
  <c r="X116"/>
  <c r="J113"/>
  <c r="D132"/>
  <c r="G111"/>
  <c r="AA114"/>
  <c r="H108"/>
  <c r="D59"/>
  <c r="AA80"/>
  <c r="Z120"/>
  <c r="U75"/>
  <c r="AB118"/>
  <c r="F49"/>
  <c r="V110"/>
  <c r="U79"/>
  <c r="Z108"/>
  <c r="AA120"/>
  <c r="AA109"/>
  <c r="B115"/>
  <c r="F53"/>
  <c r="D39"/>
  <c r="X72"/>
  <c r="J119"/>
  <c r="C108"/>
  <c r="H44"/>
  <c r="F106"/>
  <c r="Z111"/>
  <c r="X82"/>
  <c r="Z114"/>
  <c r="B145"/>
  <c r="AH135"/>
  <c r="V70"/>
  <c r="V82"/>
  <c r="X121"/>
  <c r="F51"/>
  <c r="AC114"/>
  <c r="I145"/>
  <c r="J152"/>
  <c r="AI150"/>
  <c r="AC103"/>
  <c r="I141"/>
  <c r="U90"/>
  <c r="B101"/>
  <c r="Y121"/>
  <c r="D51"/>
  <c r="B41"/>
  <c r="V87"/>
  <c r="C101"/>
  <c r="W74"/>
  <c r="F116"/>
  <c r="E121"/>
  <c r="X114"/>
  <c r="AB114"/>
  <c r="Z113"/>
  <c r="J121"/>
  <c r="J106"/>
  <c r="W108"/>
  <c r="V74"/>
  <c r="I104"/>
  <c r="F57"/>
  <c r="B42"/>
  <c r="H51"/>
  <c r="Z89"/>
  <c r="H47"/>
  <c r="W121"/>
  <c r="Z70"/>
  <c r="X75"/>
  <c r="C59"/>
  <c r="Y101"/>
  <c r="B59"/>
  <c r="C49"/>
  <c r="G53"/>
  <c r="AA121"/>
  <c r="D115"/>
  <c r="V118"/>
  <c r="AB116"/>
  <c r="Z90"/>
  <c r="X90"/>
  <c r="AB108"/>
  <c r="D116"/>
  <c r="V108"/>
  <c r="X119"/>
  <c r="Y111"/>
  <c r="Y106"/>
  <c r="W103"/>
  <c r="Z88"/>
  <c r="X108"/>
  <c r="Y82"/>
  <c r="F41"/>
  <c r="B56"/>
  <c r="E101"/>
  <c r="Y120"/>
  <c r="Y72"/>
  <c r="V84"/>
  <c r="D56"/>
  <c r="E52"/>
  <c r="AA85"/>
  <c r="E47"/>
  <c r="H110"/>
  <c r="E46"/>
  <c r="C42"/>
  <c r="G56"/>
  <c r="U88"/>
  <c r="D47"/>
  <c r="Y119"/>
  <c r="AA72"/>
  <c r="W101"/>
  <c r="Y74"/>
  <c r="Z118"/>
  <c r="AA73"/>
  <c r="X84"/>
  <c r="G48"/>
  <c r="F101"/>
  <c r="AA74"/>
  <c r="C53"/>
  <c r="AD104"/>
  <c r="C48"/>
  <c r="X78"/>
  <c r="B47"/>
  <c r="W78"/>
  <c r="AA104"/>
  <c r="G43"/>
  <c r="C119"/>
  <c r="G115"/>
  <c r="AJ134"/>
  <c r="E132"/>
  <c r="B113"/>
  <c r="G41"/>
  <c r="J108"/>
  <c r="V77"/>
  <c r="G59"/>
  <c r="J114"/>
  <c r="W84"/>
  <c r="H41"/>
  <c r="U77"/>
  <c r="I119"/>
  <c r="G119"/>
  <c r="Y73"/>
  <c r="U74"/>
  <c r="Z77"/>
  <c r="Z110"/>
  <c r="J104"/>
  <c r="Z74"/>
  <c r="F105"/>
  <c r="U89"/>
  <c r="I111"/>
  <c r="AE132"/>
  <c r="Z105"/>
  <c r="C121"/>
  <c r="B110"/>
  <c r="C47"/>
  <c r="V79"/>
  <c r="AA119"/>
  <c r="E120"/>
  <c r="V80"/>
  <c r="G109"/>
  <c r="AA88"/>
  <c r="W120"/>
  <c r="I113"/>
  <c r="Y116"/>
  <c r="J105"/>
  <c r="B44"/>
  <c r="W115"/>
  <c r="F118"/>
  <c r="E54"/>
  <c r="E49"/>
  <c r="U83"/>
  <c r="U84"/>
  <c r="Z78"/>
  <c r="V90"/>
  <c r="F39"/>
  <c r="AD149"/>
  <c r="X101"/>
  <c r="W119"/>
  <c r="X74"/>
  <c r="Y80"/>
  <c r="AB109"/>
  <c r="AC110"/>
  <c r="AD108"/>
  <c r="Y114"/>
  <c r="Z83"/>
  <c r="X118"/>
  <c r="Z104"/>
  <c r="I121"/>
  <c r="X73"/>
  <c r="X115"/>
  <c r="V111"/>
  <c r="V120"/>
  <c r="D108"/>
  <c r="I101"/>
  <c r="AA78"/>
  <c r="H101"/>
  <c r="H48"/>
  <c r="AB104"/>
  <c r="C113"/>
  <c r="F56"/>
  <c r="D103"/>
  <c r="J111"/>
  <c r="E105"/>
  <c r="I108"/>
  <c r="B111"/>
  <c r="Y70"/>
  <c r="C57"/>
  <c r="Z106"/>
  <c r="H39"/>
  <c r="W73"/>
  <c r="V104"/>
  <c r="C116"/>
  <c r="E109"/>
  <c r="AA87"/>
  <c r="W114"/>
  <c r="AD132"/>
  <c r="B118"/>
  <c r="F110"/>
  <c r="X105"/>
  <c r="AB101"/>
  <c r="Z79"/>
  <c r="V115"/>
  <c r="AA79"/>
  <c r="AJ132"/>
  <c r="Y113"/>
  <c r="E116"/>
  <c r="D101"/>
  <c r="AE149"/>
  <c r="V88"/>
  <c r="W72"/>
  <c r="B9"/>
  <c r="V89"/>
  <c r="AA101"/>
  <c r="V116"/>
  <c r="F103"/>
  <c r="AC108"/>
  <c r="AA84"/>
  <c r="C46"/>
  <c r="V73"/>
  <c r="Z119"/>
  <c r="D48"/>
  <c r="G104"/>
  <c r="AC101"/>
  <c r="C44"/>
  <c r="Z84"/>
  <c r="Z72"/>
  <c r="W118"/>
  <c r="V114"/>
  <c r="B54"/>
  <c r="I115"/>
  <c r="C54"/>
  <c r="AC120"/>
  <c r="AD121"/>
  <c r="I120"/>
  <c r="D43"/>
  <c r="AB115"/>
  <c r="AC106"/>
  <c r="V106"/>
  <c r="E142"/>
  <c r="J141"/>
  <c r="V83"/>
  <c r="I132"/>
  <c r="B49"/>
  <c r="B119"/>
  <c r="AC113"/>
  <c r="AK151"/>
  <c r="I142"/>
  <c r="G137"/>
  <c r="B146"/>
  <c r="G121"/>
  <c r="X80"/>
  <c r="X104"/>
  <c r="B132"/>
  <c r="AD103"/>
  <c r="B57"/>
  <c r="X85"/>
  <c r="E108"/>
  <c r="E118"/>
  <c r="J116"/>
  <c r="AD115"/>
  <c r="Z85"/>
  <c r="AB113"/>
  <c r="H58"/>
  <c r="E106"/>
  <c r="Z101"/>
  <c r="E104"/>
  <c r="AB110"/>
  <c r="G44"/>
  <c r="E56"/>
  <c r="Y108"/>
  <c r="J103"/>
  <c r="AA82"/>
  <c r="F119"/>
  <c r="G110"/>
  <c r="F43"/>
  <c r="AD118"/>
  <c r="B48"/>
  <c r="G39"/>
  <c r="G108"/>
  <c r="Y78"/>
  <c r="AA111"/>
  <c r="AF136"/>
  <c r="U72"/>
  <c r="C115"/>
  <c r="D57"/>
  <c r="AA113"/>
  <c r="AF132"/>
  <c r="H111"/>
  <c r="H104"/>
  <c r="V101"/>
  <c r="H115"/>
  <c r="G105"/>
  <c r="V78"/>
  <c r="Y89"/>
  <c r="X83"/>
  <c r="Z116"/>
  <c r="AB111"/>
  <c r="C132"/>
  <c r="AC116"/>
  <c r="AD110"/>
  <c r="V105"/>
  <c r="E59"/>
  <c r="C104"/>
  <c r="E57"/>
  <c r="J120"/>
  <c r="H43"/>
  <c r="AA77"/>
  <c r="G103"/>
  <c r="W83"/>
  <c r="AA106"/>
  <c r="C120"/>
  <c r="X77"/>
  <c r="V72"/>
  <c r="C39"/>
  <c r="AB121"/>
  <c r="C103"/>
  <c r="C52"/>
  <c r="AB103"/>
  <c r="E51"/>
  <c r="W80"/>
  <c r="Y79"/>
  <c r="E115"/>
  <c r="AB106"/>
  <c r="E44"/>
  <c r="X79"/>
  <c r="V103"/>
  <c r="I103"/>
  <c r="AD116"/>
  <c r="F59"/>
  <c r="E41"/>
  <c r="J110"/>
  <c r="G113"/>
  <c r="J115"/>
  <c r="E53"/>
  <c r="D41"/>
  <c r="I109"/>
  <c r="W70"/>
  <c r="H53"/>
  <c r="H109"/>
  <c r="J109"/>
  <c r="J118"/>
  <c r="Z121"/>
  <c r="D120"/>
  <c r="V113"/>
  <c r="AA89"/>
  <c r="F113"/>
  <c r="C110"/>
  <c r="E119"/>
  <c r="V119"/>
  <c r="H59"/>
  <c r="F104"/>
  <c r="D49"/>
  <c r="Y109"/>
  <c r="D46"/>
  <c r="B116"/>
  <c r="B43"/>
  <c r="Z87"/>
  <c r="B53"/>
  <c r="W88"/>
  <c r="G132"/>
  <c r="H56"/>
  <c r="AC119"/>
  <c r="W106"/>
  <c r="X113"/>
  <c r="I134"/>
  <c r="AE137"/>
  <c r="AH137"/>
  <c r="AD120"/>
  <c r="H105"/>
  <c r="B114"/>
  <c r="F132"/>
  <c r="AK150"/>
  <c r="AE134"/>
  <c r="E149"/>
  <c r="AF148"/>
  <c r="B52"/>
  <c r="J149"/>
  <c r="AH142"/>
  <c r="AJ146"/>
  <c r="AG151"/>
  <c r="F47"/>
  <c r="AD101"/>
  <c r="B105"/>
  <c r="H113"/>
  <c r="D58"/>
  <c r="F109"/>
  <c r="G120"/>
  <c r="AK149"/>
  <c r="Y88"/>
  <c r="AC105"/>
  <c r="I105"/>
  <c r="G139"/>
  <c r="D106"/>
  <c r="AK135"/>
  <c r="G143"/>
  <c r="AE145"/>
  <c r="AJ152"/>
  <c r="AD119"/>
  <c r="AL136"/>
  <c r="G134"/>
  <c r="AL146"/>
  <c r="AE146"/>
  <c r="I143"/>
  <c r="AC118"/>
  <c r="B109"/>
  <c r="C147"/>
  <c r="E148"/>
  <c r="D149"/>
  <c r="B18"/>
  <c r="H46"/>
  <c r="D151"/>
  <c r="AJ140"/>
  <c r="AG135"/>
  <c r="D143"/>
  <c r="AI134"/>
  <c r="G51"/>
  <c r="I136"/>
  <c r="E141"/>
  <c r="E147"/>
  <c r="AL144"/>
  <c r="AH134"/>
  <c r="W111"/>
  <c r="AE144"/>
  <c r="AI152"/>
  <c r="H136"/>
  <c r="F148"/>
  <c r="J139"/>
  <c r="C114"/>
  <c r="AC104"/>
  <c r="AL142"/>
  <c r="AF147"/>
  <c r="D140"/>
  <c r="B23"/>
  <c r="B241"/>
  <c r="F234"/>
  <c r="B229"/>
  <c r="F241"/>
  <c r="W236"/>
  <c r="X235"/>
  <c r="H137"/>
  <c r="H149"/>
  <c r="D232"/>
  <c r="F230"/>
  <c r="F226"/>
  <c r="C152"/>
  <c r="H140"/>
  <c r="E48"/>
  <c r="H118"/>
  <c r="Y85"/>
  <c r="X88"/>
  <c r="V109"/>
  <c r="I140"/>
  <c r="I137"/>
  <c r="F140"/>
  <c r="B136"/>
  <c r="C105"/>
  <c r="I147"/>
  <c r="AJ151"/>
  <c r="AL139"/>
  <c r="AH149"/>
  <c r="F141"/>
  <c r="AA118"/>
  <c r="E143"/>
  <c r="AH152"/>
  <c r="AI144"/>
  <c r="AI147"/>
  <c r="C139"/>
  <c r="U70"/>
  <c r="AK132"/>
  <c r="F150"/>
  <c r="H145"/>
  <c r="AH146"/>
  <c r="B21"/>
  <c r="U82"/>
  <c r="B149"/>
  <c r="B151"/>
  <c r="AJ150"/>
  <c r="AL149"/>
  <c r="AG142"/>
  <c r="E103"/>
  <c r="AF140"/>
  <c r="B134"/>
  <c r="AF137"/>
  <c r="AI151"/>
  <c r="AH144"/>
  <c r="G101"/>
  <c r="J145"/>
  <c r="G141"/>
  <c r="E146"/>
  <c r="AK144"/>
  <c r="E139"/>
  <c r="H42"/>
  <c r="X87"/>
  <c r="AG141"/>
  <c r="AD144"/>
  <c r="AI141"/>
  <c r="B19"/>
  <c r="B231"/>
  <c r="W240"/>
  <c r="W233"/>
  <c r="B141"/>
  <c r="X241"/>
  <c r="F227"/>
  <c r="V232"/>
  <c r="V239"/>
  <c r="X238"/>
  <c r="B227"/>
  <c r="W237"/>
  <c r="AL145"/>
  <c r="D236"/>
  <c r="J144"/>
  <c r="W241"/>
  <c r="B12"/>
  <c r="X237"/>
  <c r="V241"/>
  <c r="B26"/>
  <c r="X226"/>
  <c r="J9"/>
  <c r="F14"/>
  <c r="H11"/>
  <c r="L26"/>
  <c r="AE140"/>
  <c r="C151"/>
  <c r="H147"/>
  <c r="J135"/>
  <c r="W105"/>
  <c r="D104"/>
  <c r="F145"/>
  <c r="AI145"/>
  <c r="I139"/>
  <c r="AH150"/>
  <c r="G146"/>
  <c r="U78"/>
  <c r="J136"/>
  <c r="AG149"/>
  <c r="D142"/>
  <c r="AL151"/>
  <c r="AA105"/>
  <c r="C146"/>
  <c r="AH151"/>
  <c r="B139"/>
  <c r="AF144"/>
  <c r="AK147"/>
  <c r="Z103"/>
  <c r="B140"/>
  <c r="AI148"/>
  <c r="AF152"/>
  <c r="F139"/>
  <c r="E150"/>
  <c r="B108"/>
  <c r="J101"/>
  <c r="I148"/>
  <c r="AH148"/>
  <c r="AJ141"/>
  <c r="G144"/>
  <c r="E145"/>
  <c r="X110"/>
  <c r="AF134"/>
  <c r="AI135"/>
  <c r="AJ145"/>
  <c r="AJ147"/>
  <c r="X236"/>
  <c r="V235"/>
  <c r="W227"/>
  <c r="F238"/>
  <c r="X229"/>
  <c r="D229"/>
  <c r="G150"/>
  <c r="AF146"/>
  <c r="X224"/>
  <c r="B22"/>
  <c r="D234"/>
  <c r="B233"/>
  <c r="AK152"/>
  <c r="W238"/>
  <c r="AI132"/>
  <c r="AA70"/>
  <c r="H119"/>
  <c r="F108"/>
  <c r="AI146"/>
  <c r="G147"/>
  <c r="D150"/>
  <c r="AG152"/>
  <c r="B58"/>
  <c r="AG147"/>
  <c r="C136"/>
  <c r="C137"/>
  <c r="G136"/>
  <c r="F151"/>
  <c r="AL132"/>
  <c r="H106"/>
  <c r="D135"/>
  <c r="F134"/>
  <c r="AE152"/>
  <c r="AE135"/>
  <c r="F144"/>
  <c r="E42"/>
  <c r="B144"/>
  <c r="AH145"/>
  <c r="AD136"/>
  <c r="G149"/>
  <c r="AD111"/>
  <c r="D137"/>
  <c r="F142"/>
  <c r="AD151"/>
  <c r="AE136"/>
  <c r="I151"/>
  <c r="F115"/>
  <c r="AJ139"/>
  <c r="AI136"/>
  <c r="AL148"/>
  <c r="H148"/>
  <c r="C149"/>
  <c r="G116"/>
  <c r="AB119"/>
  <c r="D147"/>
  <c r="C150"/>
  <c r="F147"/>
  <c r="D152"/>
  <c r="C148"/>
  <c r="X109"/>
  <c r="AK146"/>
  <c r="AI143"/>
  <c r="J143"/>
  <c r="J142"/>
  <c r="F224"/>
  <c r="B240"/>
  <c r="B14"/>
  <c r="B232"/>
  <c r="B238"/>
  <c r="V233"/>
  <c r="B152"/>
  <c r="V240"/>
  <c r="V236"/>
  <c r="X239"/>
  <c r="X231"/>
  <c r="X111"/>
  <c r="F121"/>
  <c r="V121"/>
  <c r="D110"/>
  <c r="V75"/>
  <c r="AD105"/>
  <c r="W110"/>
  <c r="B51"/>
  <c r="AF139"/>
  <c r="C106"/>
  <c r="AA83"/>
  <c r="AJ143"/>
  <c r="AK137"/>
  <c r="U80"/>
  <c r="AK148"/>
  <c r="AI140"/>
  <c r="B143"/>
  <c r="AA90"/>
  <c r="Y83"/>
  <c r="D146"/>
  <c r="AL143"/>
  <c r="G142"/>
  <c r="AD152"/>
  <c r="AI139"/>
  <c r="B120"/>
  <c r="AK139"/>
  <c r="AD143"/>
  <c r="AE148"/>
  <c r="G145"/>
  <c r="X234"/>
  <c r="C142"/>
  <c r="AE147"/>
  <c r="C140"/>
  <c r="C144"/>
  <c r="H150"/>
  <c r="D53"/>
  <c r="AD139"/>
  <c r="I152"/>
  <c r="G152"/>
  <c r="AD147"/>
  <c r="G148"/>
  <c r="D42"/>
  <c r="D105"/>
  <c r="AG137"/>
  <c r="F149"/>
  <c r="G140"/>
  <c r="AL152"/>
  <c r="C145"/>
  <c r="Y105"/>
  <c r="H142"/>
  <c r="AH143"/>
  <c r="AL137"/>
  <c r="AE142"/>
  <c r="W231"/>
  <c r="D227"/>
  <c r="B237"/>
  <c r="D226"/>
  <c r="B29"/>
  <c r="D231"/>
  <c r="V226"/>
  <c r="AH139"/>
  <c r="W226"/>
  <c r="B13"/>
  <c r="D228"/>
  <c r="V230"/>
  <c r="I135"/>
  <c r="AK142"/>
  <c r="G42"/>
  <c r="AD106"/>
  <c r="G106"/>
  <c r="Z109"/>
  <c r="AC121"/>
  <c r="B148"/>
  <c r="AG134"/>
  <c r="H139"/>
  <c r="D109"/>
  <c r="D52"/>
  <c r="AG148"/>
  <c r="AD137"/>
  <c r="B142"/>
  <c r="AE141"/>
  <c r="D119"/>
  <c r="AA75"/>
  <c r="E144"/>
  <c r="AE151"/>
  <c r="D141"/>
  <c r="AJ144"/>
  <c r="AG144"/>
  <c r="AA108"/>
  <c r="D148"/>
  <c r="J137"/>
  <c r="AF145"/>
  <c r="AF151"/>
  <c r="F229"/>
  <c r="X103"/>
  <c r="AD140"/>
  <c r="AL135"/>
  <c r="AL140"/>
  <c r="B150"/>
  <c r="Z115"/>
  <c r="AK141"/>
  <c r="D134"/>
  <c r="I144"/>
  <c r="AI142"/>
  <c r="E135"/>
  <c r="D118"/>
  <c r="Y110"/>
  <c r="AI149"/>
  <c r="AH140"/>
  <c r="AD148"/>
  <c r="I146"/>
  <c r="AD145"/>
  <c r="I118"/>
  <c r="H146"/>
  <c r="F152"/>
  <c r="AE143"/>
  <c r="F146"/>
  <c r="B239"/>
  <c r="X227"/>
  <c r="W228"/>
  <c r="B228"/>
  <c r="H143"/>
  <c r="F232"/>
  <c r="AF143"/>
  <c r="X233"/>
  <c r="W239"/>
  <c r="V231"/>
  <c r="F237"/>
  <c r="E134"/>
  <c r="B17"/>
  <c r="W229"/>
  <c r="J150"/>
  <c r="W224"/>
  <c r="V237"/>
  <c r="B16"/>
  <c r="AJ148"/>
  <c r="X228"/>
  <c r="B234"/>
  <c r="J11"/>
  <c r="L11"/>
  <c r="L21"/>
  <c r="F19"/>
  <c r="D136"/>
  <c r="D144"/>
  <c r="AE139"/>
  <c r="B135"/>
  <c r="H120"/>
  <c r="AJ136"/>
  <c r="E151"/>
  <c r="B137"/>
  <c r="H151"/>
  <c r="AD135"/>
  <c r="W113"/>
  <c r="J151"/>
  <c r="D145"/>
  <c r="H134"/>
  <c r="D139"/>
  <c r="W230"/>
  <c r="G47"/>
  <c r="AL141"/>
  <c r="AF150"/>
  <c r="AF149"/>
  <c r="C141"/>
  <c r="H52"/>
  <c r="Y75"/>
  <c r="G151"/>
  <c r="AK140"/>
  <c r="AL147"/>
  <c r="AF141"/>
  <c r="J147"/>
  <c r="W109"/>
  <c r="AI137"/>
  <c r="AE150"/>
  <c r="AG136"/>
  <c r="AG140"/>
  <c r="AD134"/>
  <c r="H114"/>
  <c r="F143"/>
  <c r="E140"/>
  <c r="AD150"/>
  <c r="AF135"/>
  <c r="D240"/>
  <c r="F236"/>
  <c r="F235"/>
  <c r="V238"/>
  <c r="B236"/>
  <c r="B224"/>
  <c r="F240"/>
  <c r="AK136"/>
  <c r="B147"/>
  <c r="V228"/>
  <c r="V229"/>
  <c r="B230"/>
  <c r="AJ137"/>
  <c r="E137"/>
  <c r="I106"/>
  <c r="E111"/>
  <c r="C43"/>
  <c r="F42"/>
  <c r="Y115"/>
  <c r="AG145"/>
  <c r="J140"/>
  <c r="F135"/>
  <c r="AK145"/>
  <c r="C109"/>
  <c r="AJ135"/>
  <c r="AH147"/>
  <c r="AJ149"/>
  <c r="AG150"/>
  <c r="AG146"/>
  <c r="G46"/>
  <c r="AG143"/>
  <c r="H152"/>
  <c r="AD142"/>
  <c r="I149"/>
  <c r="AH136"/>
  <c r="AA115"/>
  <c r="C41"/>
  <c r="C143"/>
  <c r="C135"/>
  <c r="AD141"/>
  <c r="F239"/>
  <c r="Y118"/>
  <c r="E136"/>
  <c r="I150"/>
  <c r="AL150"/>
  <c r="J148"/>
  <c r="C51"/>
  <c r="Z82"/>
  <c r="AJ142"/>
  <c r="H135"/>
  <c r="H144"/>
  <c r="F137"/>
  <c r="AD146"/>
  <c r="W116"/>
  <c r="AH141"/>
  <c r="C134"/>
  <c r="E152"/>
  <c r="AK143"/>
  <c r="J146"/>
  <c r="D114"/>
  <c r="J134"/>
  <c r="H141"/>
  <c r="AK134"/>
  <c r="AL134"/>
  <c r="D239"/>
  <c r="X240"/>
  <c r="D235"/>
  <c r="D237"/>
  <c r="G135"/>
  <c r="B27"/>
  <c r="B235"/>
  <c r="X232"/>
  <c r="X230"/>
  <c r="W232"/>
  <c r="D230"/>
  <c r="D233"/>
  <c r="V224"/>
  <c r="W235"/>
  <c r="F136"/>
  <c r="F233"/>
  <c r="D238"/>
  <c r="W234"/>
  <c r="B226"/>
  <c r="B28"/>
  <c r="B24"/>
  <c r="F9"/>
  <c r="N21"/>
  <c r="D21"/>
  <c r="H16"/>
  <c r="D24"/>
  <c r="L14"/>
  <c r="L28"/>
  <c r="D14"/>
  <c r="J13"/>
  <c r="H19"/>
  <c r="L29"/>
  <c r="F28"/>
  <c r="D16"/>
  <c r="J28"/>
  <c r="N27"/>
  <c r="N28"/>
  <c r="H9"/>
  <c r="D26"/>
  <c r="N11"/>
  <c r="D28"/>
  <c r="N26"/>
  <c r="L23"/>
  <c r="F17"/>
  <c r="H27"/>
  <c r="J12"/>
  <c r="F11"/>
  <c r="J14"/>
  <c r="H21"/>
  <c r="N22"/>
  <c r="L24"/>
  <c r="L13"/>
  <c r="D19"/>
  <c r="N9"/>
  <c r="H18"/>
  <c r="J18"/>
  <c r="D23"/>
  <c r="D13"/>
  <c r="L16"/>
  <c r="H17"/>
  <c r="N17"/>
  <c r="N14"/>
  <c r="H29"/>
  <c r="N23"/>
  <c r="N16"/>
  <c r="D17"/>
  <c r="L27"/>
  <c r="D29"/>
  <c r="C203"/>
  <c r="X211"/>
  <c r="E207"/>
  <c r="E196"/>
  <c r="X200"/>
  <c r="C201"/>
  <c r="Z183"/>
  <c r="K166"/>
  <c r="K14"/>
  <c r="F228"/>
  <c r="AG139"/>
  <c r="V227"/>
  <c r="F231"/>
  <c r="D9"/>
  <c r="D18"/>
  <c r="H24"/>
  <c r="N13"/>
  <c r="H13"/>
  <c r="L19"/>
  <c r="F23"/>
  <c r="H14"/>
  <c r="L9"/>
  <c r="J27"/>
  <c r="J16"/>
  <c r="D12"/>
  <c r="L18"/>
  <c r="H26"/>
  <c r="H12"/>
  <c r="F12"/>
  <c r="L17"/>
  <c r="J23"/>
  <c r="J17"/>
  <c r="F13"/>
  <c r="F16"/>
  <c r="J29"/>
  <c r="J22"/>
  <c r="F22"/>
  <c r="I198"/>
  <c r="E205"/>
  <c r="E171"/>
  <c r="C180"/>
  <c r="E23"/>
  <c r="G183"/>
  <c r="I28"/>
  <c r="M21"/>
  <c r="I167"/>
  <c r="G28"/>
  <c r="O17"/>
  <c r="C17"/>
  <c r="G166"/>
  <c r="E9"/>
  <c r="I193"/>
  <c r="E211"/>
  <c r="I166"/>
  <c r="I201"/>
  <c r="I202"/>
  <c r="Z167"/>
  <c r="C198"/>
  <c r="X198"/>
  <c r="E175"/>
  <c r="M23"/>
  <c r="K22"/>
  <c r="E172"/>
  <c r="C22"/>
  <c r="C11"/>
  <c r="E170"/>
  <c r="G11"/>
  <c r="G16"/>
  <c r="I11"/>
  <c r="C14"/>
  <c r="C193"/>
  <c r="C197"/>
  <c r="Z171"/>
  <c r="E195"/>
  <c r="I210"/>
  <c r="X206"/>
  <c r="E202"/>
  <c r="E180"/>
  <c r="C168"/>
  <c r="AD17"/>
  <c r="C181"/>
  <c r="C26"/>
  <c r="K16"/>
  <c r="G165"/>
  <c r="G21"/>
  <c r="E19"/>
  <c r="E11"/>
  <c r="I182"/>
  <c r="E21"/>
  <c r="Z163"/>
  <c r="G202"/>
  <c r="Z168"/>
  <c r="E212"/>
  <c r="X207"/>
  <c r="E208"/>
  <c r="G171"/>
  <c r="I206"/>
  <c r="K181"/>
  <c r="G168"/>
  <c r="G29"/>
  <c r="G176"/>
  <c r="O16"/>
  <c r="E12"/>
  <c r="C167"/>
  <c r="O26"/>
  <c r="M16"/>
  <c r="K23"/>
  <c r="E14"/>
  <c r="K26"/>
  <c r="G9"/>
  <c r="C200"/>
  <c r="C165"/>
  <c r="I208"/>
  <c r="E198"/>
  <c r="G182"/>
  <c r="I200"/>
  <c r="E167"/>
  <c r="C24"/>
  <c r="K28"/>
  <c r="E173"/>
  <c r="C12"/>
  <c r="I173"/>
  <c r="K27"/>
  <c r="E29"/>
  <c r="M28"/>
  <c r="G178"/>
  <c r="G18"/>
  <c r="O9"/>
  <c r="G208"/>
  <c r="Z172"/>
  <c r="G205"/>
  <c r="X213"/>
  <c r="C208"/>
  <c r="I165"/>
  <c r="I211"/>
  <c r="C182"/>
  <c r="G14"/>
  <c r="O27"/>
  <c r="C171"/>
  <c r="AD14"/>
  <c r="K19"/>
  <c r="K176"/>
  <c r="G23"/>
  <c r="C21"/>
  <c r="O22"/>
  <c r="I171"/>
  <c r="O11"/>
  <c r="C9"/>
  <c r="I207"/>
  <c r="C196"/>
  <c r="Z166"/>
  <c r="C212"/>
  <c r="K183"/>
  <c r="G207"/>
  <c r="E176"/>
  <c r="K11"/>
  <c r="E27"/>
  <c r="C172"/>
  <c r="E17"/>
  <c r="I172"/>
  <c r="M22"/>
  <c r="I24"/>
  <c r="M12"/>
  <c r="G167"/>
  <c r="AD18"/>
  <c r="E193"/>
  <c r="E201"/>
  <c r="X202"/>
  <c r="K170"/>
  <c r="C205"/>
  <c r="G201"/>
  <c r="Z180"/>
  <c r="I196"/>
  <c r="I178"/>
  <c r="M18"/>
  <c r="M29"/>
  <c r="E181"/>
  <c r="E165"/>
  <c r="G17"/>
  <c r="I21"/>
  <c r="G13"/>
  <c r="AF142"/>
  <c r="D241"/>
  <c r="B11"/>
  <c r="D224"/>
  <c r="V234"/>
  <c r="F27"/>
  <c r="L22"/>
  <c r="J26"/>
  <c r="J19"/>
  <c r="F24"/>
  <c r="N19"/>
  <c r="N12"/>
  <c r="N18"/>
  <c r="L12"/>
  <c r="F21"/>
  <c r="D27"/>
  <c r="H28"/>
  <c r="F26"/>
  <c r="D11"/>
  <c r="J24"/>
  <c r="N24"/>
  <c r="N29"/>
  <c r="H22"/>
  <c r="F29"/>
  <c r="H23"/>
  <c r="F18"/>
  <c r="D22"/>
  <c r="J21"/>
  <c r="X193"/>
  <c r="K177"/>
  <c r="I197"/>
  <c r="G196"/>
  <c r="M11"/>
  <c r="K168"/>
  <c r="AD29"/>
  <c r="AD19"/>
  <c r="I175"/>
  <c r="O14"/>
  <c r="M17"/>
  <c r="K21"/>
  <c r="I183"/>
  <c r="I19"/>
  <c r="G193"/>
  <c r="E197"/>
  <c r="X203"/>
  <c r="I203"/>
  <c r="X201"/>
  <c r="I195"/>
  <c r="Z170"/>
  <c r="C210"/>
  <c r="X210"/>
  <c r="G170"/>
  <c r="O28"/>
  <c r="I168"/>
  <c r="I16"/>
  <c r="C27"/>
  <c r="X197"/>
  <c r="K178"/>
  <c r="O19"/>
  <c r="C18"/>
  <c r="G175"/>
  <c r="C16"/>
  <c r="I9"/>
  <c r="E200"/>
  <c r="I180"/>
  <c r="G206"/>
  <c r="E210"/>
  <c r="I177"/>
  <c r="C207"/>
  <c r="C173"/>
  <c r="AD16"/>
  <c r="AD13"/>
  <c r="E183"/>
  <c r="M26"/>
  <c r="C170"/>
  <c r="G173"/>
  <c r="O21"/>
  <c r="G24"/>
  <c r="C177"/>
  <c r="E18"/>
  <c r="K163"/>
  <c r="C213"/>
  <c r="X205"/>
  <c r="C178"/>
  <c r="G210"/>
  <c r="I212"/>
  <c r="Z165"/>
  <c r="G200"/>
  <c r="Z173"/>
  <c r="K167"/>
  <c r="C29"/>
  <c r="G26"/>
  <c r="K175"/>
  <c r="E24"/>
  <c r="K13"/>
  <c r="C175"/>
  <c r="AD26"/>
  <c r="AD24"/>
  <c r="AD28"/>
  <c r="E168"/>
  <c r="C163"/>
  <c r="G213"/>
  <c r="Z177"/>
  <c r="G197"/>
  <c r="G212"/>
  <c r="X195"/>
  <c r="E213"/>
  <c r="K165"/>
  <c r="M27"/>
  <c r="K12"/>
  <c r="E177"/>
  <c r="I18"/>
  <c r="M13"/>
  <c r="C166"/>
  <c r="K17"/>
  <c r="AD27"/>
  <c r="K180"/>
  <c r="I27"/>
  <c r="M9"/>
  <c r="C195"/>
  <c r="Z181"/>
  <c r="C183"/>
  <c r="E203"/>
  <c r="G195"/>
  <c r="Z175"/>
  <c r="C211"/>
  <c r="Z178"/>
  <c r="I176"/>
  <c r="M19"/>
  <c r="O29"/>
  <c r="K171"/>
  <c r="M14"/>
  <c r="X196"/>
  <c r="I170"/>
  <c r="O12"/>
  <c r="AD11"/>
  <c r="G22"/>
  <c r="K24"/>
  <c r="K9"/>
  <c r="I213"/>
  <c r="G180"/>
  <c r="G198"/>
  <c r="G211"/>
  <c r="Z176"/>
  <c r="E206"/>
  <c r="G181"/>
  <c r="C23"/>
  <c r="C13"/>
  <c r="G172"/>
  <c r="E28"/>
  <c r="E22"/>
  <c r="G177"/>
  <c r="O23"/>
  <c r="AD22"/>
  <c r="AD23"/>
  <c r="E182"/>
  <c r="I23"/>
  <c r="AD9"/>
  <c r="I205"/>
  <c r="X208"/>
  <c r="C206"/>
  <c r="E163"/>
  <c r="C202"/>
  <c r="K172"/>
  <c r="G203"/>
  <c r="K182"/>
  <c r="I13"/>
  <c r="O13"/>
  <c r="E166"/>
  <c r="AD21"/>
  <c r="E13"/>
  <c r="I181"/>
  <c r="E26"/>
  <c r="O24"/>
  <c r="O18"/>
  <c r="K173"/>
  <c r="I14"/>
  <c r="G12"/>
  <c r="C28"/>
  <c r="G27"/>
  <c r="C176"/>
  <c r="G19"/>
  <c r="K18"/>
  <c r="Z182"/>
  <c r="I17"/>
  <c r="I22"/>
  <c r="X212"/>
  <c r="M24"/>
  <c r="I26"/>
  <c r="I12"/>
  <c r="C19"/>
  <c r="E16"/>
  <c r="E178"/>
  <c r="AD12"/>
  <c r="F82" l="1"/>
  <c r="C83"/>
  <c r="D79"/>
  <c r="E84"/>
  <c r="D90"/>
  <c r="E83"/>
  <c r="H90"/>
  <c r="H85"/>
  <c r="F85"/>
  <c r="C72"/>
  <c r="D87"/>
  <c r="E89"/>
  <c r="C88"/>
  <c r="D82"/>
  <c r="G73"/>
  <c r="H79"/>
  <c r="H73"/>
  <c r="H80"/>
  <c r="D85"/>
  <c r="F80"/>
  <c r="F87"/>
  <c r="G83"/>
  <c r="D88"/>
  <c r="Y234"/>
  <c r="AE224"/>
  <c r="AA224"/>
  <c r="B72"/>
  <c r="AA241"/>
  <c r="AE241"/>
  <c r="D83"/>
  <c r="F83"/>
  <c r="F90"/>
  <c r="D77"/>
  <c r="D74"/>
  <c r="F78"/>
  <c r="F84"/>
  <c r="G78"/>
  <c r="D73"/>
  <c r="E73"/>
  <c r="E87"/>
  <c r="G79"/>
  <c r="C73"/>
  <c r="F77"/>
  <c r="F88"/>
  <c r="G70"/>
  <c r="E75"/>
  <c r="D84"/>
  <c r="G80"/>
  <c r="E74"/>
  <c r="H74"/>
  <c r="E85"/>
  <c r="C79"/>
  <c r="C70"/>
  <c r="AB231"/>
  <c r="H231"/>
  <c r="Y227"/>
  <c r="AB228"/>
  <c r="H228"/>
  <c r="C90"/>
  <c r="G88"/>
  <c r="C78"/>
  <c r="H77"/>
  <c r="H84"/>
  <c r="E90"/>
  <c r="H75"/>
  <c r="H78"/>
  <c r="E78"/>
  <c r="G77"/>
  <c r="C74"/>
  <c r="C84"/>
  <c r="F79"/>
  <c r="E79"/>
  <c r="H70"/>
  <c r="C80"/>
  <c r="G74"/>
  <c r="G85"/>
  <c r="H83"/>
  <c r="E82"/>
  <c r="F75"/>
  <c r="D72"/>
  <c r="F73"/>
  <c r="E88"/>
  <c r="D78"/>
  <c r="G84"/>
  <c r="H87"/>
  <c r="C89"/>
  <c r="H72"/>
  <c r="C87"/>
  <c r="E70"/>
  <c r="H89"/>
  <c r="H88"/>
  <c r="F89"/>
  <c r="C77"/>
  <c r="D89"/>
  <c r="G90"/>
  <c r="E80"/>
  <c r="F74"/>
  <c r="C75"/>
  <c r="G89"/>
  <c r="G75"/>
  <c r="C85"/>
  <c r="E77"/>
  <c r="C82"/>
  <c r="H82"/>
  <c r="D70"/>
  <c r="B85"/>
  <c r="B89"/>
  <c r="Z226"/>
  <c r="AD226"/>
  <c r="AA238"/>
  <c r="AE238"/>
  <c r="H233"/>
  <c r="AB233"/>
  <c r="Y224"/>
  <c r="AA233"/>
  <c r="AE233"/>
  <c r="AE230"/>
  <c r="AA230"/>
  <c r="AF230"/>
  <c r="AF232"/>
  <c r="AD235"/>
  <c r="Z235"/>
  <c r="B88"/>
  <c r="AE237"/>
  <c r="AA237"/>
  <c r="AA235"/>
  <c r="AE235"/>
  <c r="AF240"/>
  <c r="AE239"/>
  <c r="AA239"/>
  <c r="F176"/>
  <c r="AM176" s="1"/>
  <c r="BA178"/>
  <c r="AE178"/>
  <c r="BC180"/>
  <c r="AG180"/>
  <c r="H239"/>
  <c r="AB239"/>
  <c r="AB207"/>
  <c r="D171"/>
  <c r="AL171" s="1"/>
  <c r="AG177"/>
  <c r="BC177"/>
  <c r="H173"/>
  <c r="AN173" s="1"/>
  <c r="F198"/>
  <c r="AO198" s="1"/>
  <c r="Z230"/>
  <c r="AD230"/>
  <c r="Y229"/>
  <c r="Y228"/>
  <c r="AB240"/>
  <c r="H240"/>
  <c r="AD224"/>
  <c r="Z224"/>
  <c r="AD236"/>
  <c r="Z236"/>
  <c r="Y238"/>
  <c r="H235"/>
  <c r="AB235"/>
  <c r="AB236"/>
  <c r="H236"/>
  <c r="AE240"/>
  <c r="AA240"/>
  <c r="D206"/>
  <c r="AN206" s="1"/>
  <c r="BA171"/>
  <c r="AE171"/>
  <c r="AE175"/>
  <c r="BA175"/>
  <c r="D212"/>
  <c r="AN212" s="1"/>
  <c r="D80"/>
  <c r="G82"/>
  <c r="G72"/>
  <c r="F72"/>
  <c r="AD234"/>
  <c r="Z234"/>
  <c r="AF228"/>
  <c r="B77"/>
  <c r="Y237"/>
  <c r="B78"/>
  <c r="AB237"/>
  <c r="H237"/>
  <c r="Y231"/>
  <c r="AF233"/>
  <c r="H232"/>
  <c r="AB232"/>
  <c r="AD228"/>
  <c r="Z228"/>
  <c r="AF227"/>
  <c r="Z239"/>
  <c r="AD239"/>
  <c r="F210"/>
  <c r="AO210" s="1"/>
  <c r="BC172"/>
  <c r="AG172"/>
  <c r="F180"/>
  <c r="AM180" s="1"/>
  <c r="BE177"/>
  <c r="AH177"/>
  <c r="BB165"/>
  <c r="AF165"/>
  <c r="AB229"/>
  <c r="H229"/>
  <c r="AG229" s="1"/>
  <c r="AX200"/>
  <c r="AB200"/>
  <c r="F181"/>
  <c r="F171"/>
  <c r="AM171" s="1"/>
  <c r="AD213"/>
  <c r="AZ213"/>
  <c r="BE171"/>
  <c r="AH171"/>
  <c r="B198"/>
  <c r="AM198" s="1"/>
  <c r="AE198"/>
  <c r="BA198"/>
  <c r="Y230"/>
  <c r="AA228"/>
  <c r="AE228"/>
  <c r="B74"/>
  <c r="Y226"/>
  <c r="AA231"/>
  <c r="AE231"/>
  <c r="B90"/>
  <c r="AE226"/>
  <c r="AA226"/>
  <c r="AD237"/>
  <c r="Z237"/>
  <c r="AA227"/>
  <c r="AE227"/>
  <c r="BC167"/>
  <c r="AG167"/>
  <c r="F167"/>
  <c r="AM167" s="1"/>
  <c r="AF234"/>
  <c r="B182"/>
  <c r="AK182" s="1"/>
  <c r="D168"/>
  <c r="AL168" s="1"/>
  <c r="BA172"/>
  <c r="AE172"/>
  <c r="AE197"/>
  <c r="BA197"/>
  <c r="F172"/>
  <c r="AM172" s="1"/>
  <c r="AD183"/>
  <c r="AZ183"/>
  <c r="J183"/>
  <c r="AP183" s="1"/>
  <c r="BB173"/>
  <c r="AF173"/>
  <c r="AF231"/>
  <c r="AF239"/>
  <c r="Y236"/>
  <c r="Y240"/>
  <c r="Y233"/>
  <c r="AD238"/>
  <c r="Z238"/>
  <c r="AD232"/>
  <c r="Z232"/>
  <c r="B75"/>
  <c r="Z240"/>
  <c r="AD240"/>
  <c r="H224"/>
  <c r="AB224"/>
  <c r="AF171"/>
  <c r="BB171"/>
  <c r="AC211"/>
  <c r="AY211"/>
  <c r="B208"/>
  <c r="AM208" s="1"/>
  <c r="J177"/>
  <c r="AP177" s="1"/>
  <c r="BA203"/>
  <c r="D198"/>
  <c r="AN198" s="1"/>
  <c r="J170"/>
  <c r="AP170" s="1"/>
  <c r="D211"/>
  <c r="AN211" s="1"/>
  <c r="Z233"/>
  <c r="AD233"/>
  <c r="AA234"/>
  <c r="AE234"/>
  <c r="B83"/>
  <c r="AF224"/>
  <c r="AA229"/>
  <c r="AE229"/>
  <c r="AF229"/>
  <c r="H238"/>
  <c r="AG238" s="1"/>
  <c r="AB238"/>
  <c r="Y235"/>
  <c r="AF236"/>
  <c r="BB172"/>
  <c r="AF172"/>
  <c r="H193"/>
  <c r="B170"/>
  <c r="AK170" s="1"/>
  <c r="BE165"/>
  <c r="AH165"/>
  <c r="AX197"/>
  <c r="AB197"/>
  <c r="F166"/>
  <c r="AM166" s="1"/>
  <c r="AE167"/>
  <c r="BA167"/>
  <c r="G87"/>
  <c r="E72"/>
  <c r="D75"/>
  <c r="F70"/>
  <c r="AF226"/>
  <c r="B87"/>
  <c r="Y241"/>
  <c r="AF237"/>
  <c r="B73"/>
  <c r="AE236"/>
  <c r="AA236"/>
  <c r="AD227"/>
  <c r="Z227"/>
  <c r="AF238"/>
  <c r="Y239"/>
  <c r="Y232"/>
  <c r="H227"/>
  <c r="AG227" s="1"/>
  <c r="AB227"/>
  <c r="AF241"/>
  <c r="Z231"/>
  <c r="AD231"/>
  <c r="B80"/>
  <c r="B193"/>
  <c r="H165"/>
  <c r="AN165" s="1"/>
  <c r="B82"/>
  <c r="AX210"/>
  <c r="AB210"/>
  <c r="D167"/>
  <c r="AL167" s="1"/>
  <c r="AD171"/>
  <c r="AZ171"/>
  <c r="D210"/>
  <c r="AN210" s="1"/>
  <c r="AB226"/>
  <c r="H226"/>
  <c r="AG226" s="1"/>
  <c r="H230"/>
  <c r="AB230"/>
  <c r="AA232"/>
  <c r="AE232"/>
  <c r="AF235"/>
  <c r="AB241"/>
  <c r="H241"/>
  <c r="AD229"/>
  <c r="Z229"/>
  <c r="AB234"/>
  <c r="H234"/>
  <c r="AG234" s="1"/>
  <c r="Z241"/>
  <c r="AD241"/>
  <c r="B84"/>
  <c r="AZ196"/>
  <c r="AD196"/>
  <c r="D176"/>
  <c r="AL176" s="1"/>
  <c r="BA173"/>
  <c r="AE173"/>
  <c r="B79"/>
  <c r="B171"/>
  <c r="AK171" s="1"/>
  <c r="AZ210"/>
  <c r="AD210"/>
  <c r="AE211"/>
  <c r="BA211"/>
  <c r="F168"/>
  <c r="AM168" s="1"/>
  <c r="F197"/>
  <c r="AO197" s="1"/>
  <c r="AZ197"/>
  <c r="AD197"/>
  <c r="B212"/>
  <c r="AM212" s="1"/>
  <c r="J171"/>
  <c r="AP171" s="1"/>
  <c r="D205"/>
  <c r="AN205" s="1"/>
  <c r="B167"/>
  <c r="AK167" s="1"/>
  <c r="AE193"/>
  <c r="B176"/>
  <c r="AK176" s="1"/>
  <c r="D197"/>
  <c r="AN197" s="1"/>
  <c r="AE212"/>
  <c r="BA212"/>
  <c r="AF175"/>
  <c r="BB175"/>
  <c r="AE168"/>
  <c r="BA168"/>
  <c r="AD211"/>
  <c r="AZ211"/>
  <c r="B178"/>
  <c r="AK178" s="1"/>
  <c r="AG171"/>
  <c r="BC171"/>
  <c r="J166"/>
  <c r="AP166" s="1"/>
  <c r="AZ181"/>
  <c r="AD181"/>
  <c r="H181"/>
  <c r="D172"/>
  <c r="AL172" s="1"/>
  <c r="J175"/>
  <c r="AP175" s="1"/>
  <c r="AZ175"/>
  <c r="AD175"/>
  <c r="F182"/>
  <c r="AM182" s="1"/>
  <c r="AH183"/>
  <c r="BE183"/>
  <c r="H210"/>
  <c r="AP210" s="1"/>
  <c r="H201"/>
  <c r="AP201" s="1"/>
  <c r="D201"/>
  <c r="AN201" s="1"/>
  <c r="F201"/>
  <c r="AO201" s="1"/>
  <c r="H207"/>
  <c r="B205"/>
  <c r="AM205" s="1"/>
  <c r="H202"/>
  <c r="AP202" s="1"/>
  <c r="BA208"/>
  <c r="F195"/>
  <c r="AO195" s="1"/>
  <c r="AZ165"/>
  <c r="AD165"/>
  <c r="AC198"/>
  <c r="AY198"/>
  <c r="H177"/>
  <c r="AN177" s="1"/>
  <c r="AC195"/>
  <c r="AY195"/>
  <c r="D165"/>
  <c r="AL165" s="1"/>
  <c r="AC213"/>
  <c r="AY213"/>
  <c r="D182"/>
  <c r="AL182" s="1"/>
  <c r="AB198"/>
  <c r="AX198"/>
  <c r="B195"/>
  <c r="AM195" s="1"/>
  <c r="H212"/>
  <c r="AP212" s="1"/>
  <c r="D166"/>
  <c r="AL166" s="1"/>
  <c r="AD167"/>
  <c r="AZ167"/>
  <c r="AE202"/>
  <c r="BA202"/>
  <c r="AZ208"/>
  <c r="AY203"/>
  <c r="BE178"/>
  <c r="AH178"/>
  <c r="B197"/>
  <c r="AM197" s="1"/>
  <c r="D207"/>
  <c r="AD163"/>
  <c r="D196"/>
  <c r="AN196" s="1"/>
  <c r="D203"/>
  <c r="AN203" s="1"/>
  <c r="AX205"/>
  <c r="AB205"/>
  <c r="D177"/>
  <c r="AL177" s="1"/>
  <c r="AX203"/>
  <c r="B200"/>
  <c r="AM200" s="1"/>
  <c r="AE210"/>
  <c r="BA210"/>
  <c r="B202"/>
  <c r="AM202" s="1"/>
  <c r="J181"/>
  <c r="AP181" s="1"/>
  <c r="H195"/>
  <c r="AP195" s="1"/>
  <c r="AG170"/>
  <c r="BC170"/>
  <c r="AY202"/>
  <c r="AC202"/>
  <c r="H166"/>
  <c r="AN166" s="1"/>
  <c r="AH163"/>
  <c r="H168"/>
  <c r="AN168" s="1"/>
  <c r="AC205"/>
  <c r="AY205"/>
  <c r="AE207"/>
  <c r="H208"/>
  <c r="AP208" s="1"/>
  <c r="H180"/>
  <c r="AN180" s="1"/>
  <c r="H170"/>
  <c r="AN170" s="1"/>
  <c r="BA195"/>
  <c r="AE195"/>
  <c r="BB166"/>
  <c r="AF166"/>
  <c r="B213"/>
  <c r="AM213" s="1"/>
  <c r="AD205"/>
  <c r="AZ205"/>
  <c r="B181"/>
  <c r="AK181" s="1"/>
  <c r="AZ168"/>
  <c r="AD168"/>
  <c r="AZ198"/>
  <c r="AD198"/>
  <c r="AC207"/>
  <c r="F212"/>
  <c r="AO212" s="1"/>
  <c r="BA213"/>
  <c r="AE213"/>
  <c r="AD212"/>
  <c r="AZ212"/>
  <c r="F207"/>
  <c r="AD176"/>
  <c r="AZ176"/>
  <c r="BA180"/>
  <c r="AE180"/>
  <c r="AD193"/>
  <c r="B196"/>
  <c r="AM196" s="1"/>
  <c r="BE181"/>
  <c r="AH181"/>
  <c r="AZ200"/>
  <c r="AD200"/>
  <c r="J165"/>
  <c r="AP165" s="1"/>
  <c r="AZ178"/>
  <c r="AD178"/>
  <c r="AB193"/>
  <c r="B70"/>
  <c r="F163"/>
  <c r="H178"/>
  <c r="AN178" s="1"/>
  <c r="BC175"/>
  <c r="AG175"/>
  <c r="AZ177"/>
  <c r="AD177"/>
  <c r="AC193"/>
  <c r="AF167"/>
  <c r="BB167"/>
  <c r="J172"/>
  <c r="AP172" s="1"/>
  <c r="B180"/>
  <c r="AK180" s="1"/>
  <c r="AE176"/>
  <c r="BA176"/>
  <c r="H171"/>
  <c r="AN171" s="1"/>
  <c r="D178"/>
  <c r="AL178" s="1"/>
  <c r="AD166"/>
  <c r="AZ166"/>
  <c r="BE168"/>
  <c r="AH168"/>
  <c r="B173"/>
  <c r="AK173" s="1"/>
  <c r="F200"/>
  <c r="AO200" s="1"/>
  <c r="H167"/>
  <c r="AN167" s="1"/>
  <c r="H203"/>
  <c r="AP203" s="1"/>
  <c r="F165"/>
  <c r="AM165" s="1"/>
  <c r="D175"/>
  <c r="AL175" s="1"/>
  <c r="AC196"/>
  <c r="AY196"/>
  <c r="D193"/>
  <c r="F193"/>
  <c r="F170"/>
  <c r="AM170" s="1"/>
  <c r="AD182"/>
  <c r="AZ182"/>
  <c r="AD173"/>
  <c r="AZ173"/>
  <c r="AF177"/>
  <c r="BB177"/>
  <c r="F213"/>
  <c r="AO213" s="1"/>
  <c r="BE166"/>
  <c r="AH166"/>
  <c r="BB180"/>
  <c r="AF180"/>
  <c r="AG176"/>
  <c r="BC176"/>
  <c r="AE200"/>
  <c r="BA200"/>
  <c r="AD202"/>
  <c r="AZ202"/>
  <c r="AY201"/>
  <c r="AC201"/>
  <c r="AE181"/>
  <c r="AF163"/>
  <c r="J180"/>
  <c r="AP180" s="1"/>
  <c r="AE177"/>
  <c r="BA177"/>
  <c r="H197"/>
  <c r="AP197" s="1"/>
  <c r="BC178"/>
  <c r="AG178"/>
  <c r="F205"/>
  <c r="AO205" s="1"/>
  <c r="BA182"/>
  <c r="AE182"/>
  <c r="B201"/>
  <c r="AM201" s="1"/>
  <c r="H182"/>
  <c r="AX211"/>
  <c r="AB211"/>
  <c r="B172"/>
  <c r="AK172" s="1"/>
  <c r="D183"/>
  <c r="AL183" s="1"/>
  <c r="AH167"/>
  <c r="BE167"/>
  <c r="F203"/>
  <c r="AO203" s="1"/>
  <c r="J167"/>
  <c r="AP167" s="1"/>
  <c r="H196"/>
  <c r="AP196" s="1"/>
  <c r="BE172"/>
  <c r="AH172"/>
  <c r="B211"/>
  <c r="AM211" s="1"/>
  <c r="F211"/>
  <c r="AO211" s="1"/>
  <c r="H206"/>
  <c r="AP206" s="1"/>
  <c r="H200"/>
  <c r="AP200" s="1"/>
  <c r="B175"/>
  <c r="AK175" s="1"/>
  <c r="B207"/>
  <c r="D181"/>
  <c r="AX196"/>
  <c r="AB196"/>
  <c r="AE196"/>
  <c r="BA196"/>
  <c r="J163"/>
  <c r="AH180"/>
  <c r="BE180"/>
  <c r="AE163"/>
  <c r="AG181"/>
  <c r="D202"/>
  <c r="AN202" s="1"/>
  <c r="AG182"/>
  <c r="H163"/>
  <c r="BB170"/>
  <c r="AF170"/>
  <c r="BA165"/>
  <c r="AE165"/>
  <c r="AG168"/>
  <c r="BC168"/>
  <c r="BC173"/>
  <c r="AG173"/>
  <c r="AF181"/>
  <c r="AD170"/>
  <c r="AZ170"/>
  <c r="F178"/>
  <c r="AM178" s="1"/>
  <c r="AC200"/>
  <c r="AY200"/>
  <c r="AY208"/>
  <c r="AZ180"/>
  <c r="AD180"/>
  <c r="F177"/>
  <c r="AM177" s="1"/>
  <c r="AX213"/>
  <c r="AB213"/>
  <c r="AG163"/>
  <c r="AE183"/>
  <c r="BA183"/>
  <c r="F196"/>
  <c r="AO196" s="1"/>
  <c r="BA170"/>
  <c r="AE170"/>
  <c r="H198"/>
  <c r="AP198" s="1"/>
  <c r="H213"/>
  <c r="AP213" s="1"/>
  <c r="BE175"/>
  <c r="AH175"/>
  <c r="AY206"/>
  <c r="AC206"/>
  <c r="BB176"/>
  <c r="AF176"/>
  <c r="H183"/>
  <c r="AN183" s="1"/>
  <c r="J178"/>
  <c r="AP178" s="1"/>
  <c r="D163"/>
  <c r="AG183"/>
  <c r="BC183"/>
  <c r="B163"/>
  <c r="AZ195"/>
  <c r="AD195"/>
  <c r="AZ206"/>
  <c r="AD206"/>
  <c r="BB183"/>
  <c r="AF183"/>
  <c r="BE176"/>
  <c r="AH176"/>
  <c r="BE173"/>
  <c r="AH173"/>
  <c r="J168"/>
  <c r="AP168" s="1"/>
  <c r="D170"/>
  <c r="AL170" s="1"/>
  <c r="H211"/>
  <c r="AP211" s="1"/>
  <c r="B177"/>
  <c r="AK177" s="1"/>
  <c r="AB201"/>
  <c r="AX201"/>
  <c r="AX212"/>
  <c r="AB212"/>
  <c r="AH170"/>
  <c r="BE170"/>
  <c r="AZ172"/>
  <c r="AD172"/>
  <c r="AC210"/>
  <c r="AY210"/>
  <c r="AH182"/>
  <c r="BE182"/>
  <c r="BD182" s="1"/>
  <c r="BD163" s="1"/>
  <c r="D200"/>
  <c r="AN200" s="1"/>
  <c r="AB206"/>
  <c r="AX206"/>
  <c r="B203"/>
  <c r="AM203" s="1"/>
  <c r="H205"/>
  <c r="AP205" s="1"/>
  <c r="AF178"/>
  <c r="BB178"/>
  <c r="B165"/>
  <c r="AK165" s="1"/>
  <c r="D173"/>
  <c r="AL173" s="1"/>
  <c r="AD201"/>
  <c r="AZ201"/>
  <c r="AE206"/>
  <c r="BA206"/>
  <c r="J176"/>
  <c r="AP176" s="1"/>
  <c r="F206"/>
  <c r="AO206" s="1"/>
  <c r="D180"/>
  <c r="AL180" s="1"/>
  <c r="AY212"/>
  <c r="AC212"/>
  <c r="AC197"/>
  <c r="AY197"/>
  <c r="H176"/>
  <c r="AN176" s="1"/>
  <c r="B206"/>
  <c r="AM206" s="1"/>
  <c r="F173"/>
  <c r="AM173" s="1"/>
  <c r="B183"/>
  <c r="AK183" s="1"/>
  <c r="BB182"/>
  <c r="AF182"/>
  <c r="AD207"/>
  <c r="D213"/>
  <c r="AN213" s="1"/>
  <c r="F175"/>
  <c r="AM175" s="1"/>
  <c r="AX208"/>
  <c r="D195"/>
  <c r="AN195" s="1"/>
  <c r="F208"/>
  <c r="AO208" s="1"/>
  <c r="AX202"/>
  <c r="AB202"/>
  <c r="J173"/>
  <c r="AP173" s="1"/>
  <c r="H175"/>
  <c r="AN175" s="1"/>
  <c r="AE201"/>
  <c r="BA201"/>
  <c r="AF168"/>
  <c r="BB168"/>
  <c r="AZ203"/>
  <c r="B166"/>
  <c r="AK166" s="1"/>
  <c r="B210"/>
  <c r="AM210" s="1"/>
  <c r="H172"/>
  <c r="AN172" s="1"/>
  <c r="BA205"/>
  <c r="AE205"/>
  <c r="BC166"/>
  <c r="AG166"/>
  <c r="J182"/>
  <c r="AP182" s="1"/>
  <c r="AO182" s="1"/>
  <c r="AO163" s="1"/>
  <c r="AE166"/>
  <c r="BA166"/>
  <c r="D208"/>
  <c r="AN208" s="1"/>
  <c r="F202"/>
  <c r="AO202" s="1"/>
  <c r="AG165"/>
  <c r="BC165"/>
  <c r="AB195"/>
  <c r="AX195"/>
  <c r="B168"/>
  <c r="AK168" s="1"/>
  <c r="F183"/>
  <c r="AM183" s="1"/>
  <c r="AG230" l="1"/>
  <c r="AX193"/>
  <c r="BC163"/>
  <c r="AN193"/>
  <c r="AG224"/>
  <c r="AC224"/>
  <c r="AZ193"/>
  <c r="BA163"/>
  <c r="BA193"/>
  <c r="AP193"/>
  <c r="AY193"/>
  <c r="AZ163"/>
  <c r="AG232"/>
  <c r="AG235"/>
  <c r="AG240"/>
  <c r="AG231"/>
  <c r="AK163"/>
  <c r="AM163"/>
  <c r="AP163"/>
  <c r="AM193"/>
  <c r="AL163"/>
  <c r="AO193"/>
  <c r="AG241"/>
  <c r="AN163"/>
  <c r="BE163"/>
  <c r="BB163"/>
  <c r="AG237"/>
  <c r="AG236"/>
  <c r="AG239"/>
  <c r="AG233"/>
  <c r="AG228"/>
</calcChain>
</file>

<file path=xl/comments1.xml><?xml version="1.0" encoding="utf-8"?>
<comments xmlns="http://schemas.openxmlformats.org/spreadsheetml/2006/main">
  <authors>
    <author>mloverde</author>
    <author>jmarks</author>
    <author>Alicia A. Diaz</author>
    <author>lfilipp</author>
    <author>jennifer berg</author>
    <author>AngelaDetlev</author>
    <author>Jeannie Reed</author>
  </authors>
  <commentList>
    <comment ref="R2" authorId="0">
      <text>
        <r>
          <rPr>
            <b/>
            <sz val="10"/>
            <color indexed="81"/>
            <rFont val="Tahoma"/>
            <family val="2"/>
          </rPr>
          <t>jmarks: Formula must "fit" term code: /30 for semesters; /45 for quarters</t>
        </r>
      </text>
    </comment>
    <comment ref="V2" authorId="0">
      <text>
        <r>
          <rPr>
            <b/>
            <sz val="10"/>
            <color indexed="81"/>
            <rFont val="Tahoma"/>
            <family val="2"/>
          </rPr>
          <t>jmarks: Formula must "fit" term code: /30 for semesters; /45 for quarters</t>
        </r>
      </text>
    </comment>
    <comment ref="AH2" authorId="0">
      <text>
        <r>
          <rPr>
            <b/>
            <sz val="8"/>
            <color indexed="81"/>
            <rFont val="Tahoma"/>
            <family val="2"/>
          </rPr>
          <t>Formula is the same for quarter and semester hours - divide total hours by 900.</t>
        </r>
      </text>
    </comment>
    <comment ref="AL2" authorId="0">
      <text>
        <r>
          <rPr>
            <b/>
            <sz val="8"/>
            <color indexed="81"/>
            <rFont val="Tahoma"/>
            <family val="2"/>
          </rPr>
          <t>Formula is the same for quarter and semester hours - divide total hours by 900.</t>
        </r>
      </text>
    </comment>
    <comment ref="AV2" authorId="0">
      <text>
        <r>
          <rPr>
            <b/>
            <sz val="8"/>
            <color indexed="81"/>
            <rFont val="Tahoma"/>
            <family val="2"/>
          </rPr>
          <t>Formula must "fit" term code: /24 for semesters; /36 for quarters</t>
        </r>
      </text>
    </comment>
    <comment ref="AX2" authorId="0">
      <text>
        <r>
          <rPr>
            <b/>
            <sz val="8"/>
            <color indexed="81"/>
            <rFont val="Tahoma"/>
            <family val="2"/>
          </rPr>
          <t>Formula must "fit" term code: /24 for semesters; /36 for quarters</t>
        </r>
      </text>
    </comment>
    <comment ref="P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T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F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J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B12" authorId="0">
      <text>
        <r>
          <rPr>
            <b/>
            <sz val="8"/>
            <color indexed="81"/>
            <rFont val="Tahoma"/>
            <family val="2"/>
          </rPr>
          <t>Met criteria for classification as a SREB Four-Year 5 in 2007-08, 2008-09.</t>
        </r>
      </text>
    </comment>
    <comment ref="B22" authorId="0">
      <text>
        <r>
          <rPr>
            <b/>
            <sz val="8"/>
            <color indexed="81"/>
            <rFont val="Tahoma"/>
            <family val="2"/>
          </rPr>
          <t>Met criteria for two-year 3 ("10") in 2008-09</t>
        </r>
      </text>
    </comment>
    <comment ref="B38" authorId="2">
      <text>
        <r>
          <rPr>
            <b/>
            <sz val="8"/>
            <color indexed="81"/>
            <rFont val="Tahoma"/>
            <family val="2"/>
          </rPr>
          <t>met the criteria for a SREB two-year 2 ("9") in 2008-09.</t>
        </r>
      </text>
    </comment>
    <comment ref="B52" authorId="0">
      <text>
        <r>
          <rPr>
            <b/>
            <sz val="10"/>
            <color indexed="81"/>
            <rFont val="Tahoma"/>
            <family val="2"/>
          </rPr>
          <t>Reclassified: met the criteria for classification as a SREB Four-Year 6 in 2006-07, 2007-08 and 2008-09.</t>
        </r>
      </text>
    </comment>
    <comment ref="B64" authorId="0">
      <text>
        <r>
          <rPr>
            <b/>
            <sz val="10"/>
            <color indexed="81"/>
            <rFont val="Tahoma"/>
            <family val="2"/>
          </rPr>
          <t>Met the criteria for classification as a SREB Two-Year 2 ("9") in 2008-09.</t>
        </r>
      </text>
    </comment>
    <comment ref="B80" authorId="2">
      <text>
        <r>
          <rPr>
            <b/>
            <sz val="8"/>
            <color indexed="81"/>
            <rFont val="Tahoma"/>
            <family val="2"/>
          </rPr>
          <t>met the criteria for a SREB two-year 2 ("9") in 2007-08, 2008-09</t>
        </r>
      </text>
    </comment>
    <comment ref="B86" authorId="0">
      <text>
        <r>
          <rPr>
            <b/>
            <sz val="8"/>
            <color indexed="81"/>
            <rFont val="Tahoma"/>
            <family val="2"/>
          </rPr>
          <t>met the criteria for a SREB Four-Year 1 institution in 2007-08, 2008-09</t>
        </r>
      </text>
    </comment>
    <comment ref="B90" authorId="2">
      <text>
        <r>
          <rPr>
            <b/>
            <sz val="8"/>
            <color indexed="81"/>
            <rFont val="Tahoma"/>
            <family val="2"/>
          </rPr>
          <t>Reclassified: met the criteria for a SREB Four-Year 4 institution in 2006-07, 2007-08 and 2008-09</t>
        </r>
      </text>
    </comment>
    <comment ref="B94" authorId="2">
      <text>
        <r>
          <rPr>
            <b/>
            <sz val="8"/>
            <color indexed="81"/>
            <rFont val="Tahoma"/>
            <family val="2"/>
          </rPr>
          <t>Formerly Okaloosa-Walton College.
Reclassified: met the criteria for a SREB two-year with bachelor's ("7")  in 2006-07, 2007-08</t>
        </r>
      </text>
    </comment>
    <comment ref="B98" authorId="2">
      <text>
        <r>
          <rPr>
            <b/>
            <sz val="8"/>
            <color indexed="81"/>
            <rFont val="Tahoma"/>
            <family val="2"/>
          </rPr>
          <t>met the criteria for a SREB two-year with bachelor's ("7")  in 2007-08, 2008-09</t>
        </r>
      </text>
    </comment>
    <comment ref="B99" authorId="2">
      <text>
        <r>
          <rPr>
            <b/>
            <sz val="8"/>
            <color indexed="81"/>
            <rFont val="Tahoma"/>
            <family val="2"/>
          </rPr>
          <t>formerly Edison Community College. Met the criteria for a SREB two-year with bachelor's ("7")  in 2008-09</t>
        </r>
      </text>
    </comment>
    <comment ref="B105" authorId="2">
      <text>
        <r>
          <rPr>
            <b/>
            <sz val="8"/>
            <color indexed="81"/>
            <rFont val="Tahoma"/>
            <family val="2"/>
          </rPr>
          <t>Reclassified: met the criteria for a SREB two-year 1 ("8") in 2006-07, 2007-08, 2008-09.</t>
        </r>
      </text>
    </comment>
    <comment ref="B111" authorId="2">
      <text>
        <r>
          <rPr>
            <b/>
            <sz val="8"/>
            <color indexed="81"/>
            <rFont val="Tahoma"/>
            <family val="2"/>
          </rPr>
          <t>met the criteria for a SREB two-year 1 ("8") in 2008-09</t>
        </r>
      </text>
    </comment>
    <comment ref="B115" authorId="2">
      <text>
        <r>
          <rPr>
            <b/>
            <sz val="8"/>
            <color indexed="81"/>
            <rFont val="Tahoma"/>
            <family val="2"/>
          </rPr>
          <t>met the criteria for a SREB two-year 1 ("8") in 2007-08, 2008-09</t>
        </r>
      </text>
    </comment>
    <comment ref="B128" authorId="0">
      <text>
        <r>
          <rPr>
            <b/>
            <sz val="8"/>
            <color indexed="81"/>
            <rFont val="Tahoma"/>
            <family val="2"/>
          </rPr>
          <t>met the criteria for a SREB Four-Year 3 institution in 2008-09</t>
        </r>
      </text>
    </comment>
    <comment ref="B132" authorId="0">
      <text>
        <r>
          <rPr>
            <b/>
            <sz val="8"/>
            <color indexed="81"/>
            <rFont val="Tahoma"/>
            <family val="2"/>
          </rPr>
          <t>met the criteria for a SREB Four-Year 6 institution in 2008-09</t>
        </r>
      </text>
    </comment>
    <comment ref="AO132" authorId="2">
      <text>
        <r>
          <rPr>
            <b/>
            <sz val="8"/>
            <color indexed="81"/>
            <rFont val="Tahoma"/>
            <family val="2"/>
          </rPr>
          <t>Alicia A. Diaz:</t>
        </r>
        <r>
          <rPr>
            <sz val="8"/>
            <color indexed="81"/>
            <rFont val="Tahoma"/>
            <family val="2"/>
          </rPr>
          <t xml:space="preserve">
administrators changed, reduced students' desire to continue.</t>
        </r>
      </text>
    </comment>
    <comment ref="B141" authorId="2">
      <text>
        <r>
          <rPr>
            <b/>
            <sz val="8"/>
            <color indexed="81"/>
            <rFont val="Tahoma"/>
            <family val="2"/>
          </rPr>
          <t>Reclassified: met the criteria for a SREB two-year 2 ("9") in 2006-07, 2007-08 and 2008-09.</t>
        </r>
      </text>
    </comment>
    <comment ref="B142" authorId="0">
      <text>
        <r>
          <rPr>
            <b/>
            <sz val="8"/>
            <color indexed="81"/>
            <rFont val="Tahoma"/>
            <family val="2"/>
          </rPr>
          <t>Was Coastal Georgia Community College.
Met criteria for two-year 3 ("10") in 2008-09</t>
        </r>
      </text>
    </comment>
    <comment ref="B144" authorId="2">
      <text>
        <r>
          <rPr>
            <b/>
            <sz val="8"/>
            <color indexed="81"/>
            <rFont val="Tahoma"/>
            <family val="2"/>
          </rPr>
          <t>met the criteria for a SREB two-year 1 ("8")  in 2007-08; met criteria for two-year with bachelors ("7") in 2008-09.</t>
        </r>
      </text>
    </comment>
    <comment ref="C147" authorId="2">
      <text>
        <r>
          <rPr>
            <b/>
            <sz val="8"/>
            <color indexed="81"/>
            <rFont val="Tahoma"/>
            <family val="2"/>
          </rPr>
          <t>Includes what used to be Georgia Aviation Technical College.</t>
        </r>
      </text>
    </comment>
    <comment ref="B179" authorId="2">
      <text>
        <r>
          <rPr>
            <b/>
            <sz val="8"/>
            <color indexed="81"/>
            <rFont val="Tahoma"/>
            <family val="2"/>
          </rPr>
          <t>met criteria for tech institute 1 ("12") in 2008-09</t>
        </r>
      </text>
    </comment>
    <comment ref="B180" authorId="2">
      <text>
        <r>
          <rPr>
            <b/>
            <sz val="8"/>
            <color indexed="81"/>
            <rFont val="Tahoma"/>
            <family val="2"/>
          </rPr>
          <t>met criteria for tech institute 1 ("12") in 2008-09</t>
        </r>
      </text>
    </comment>
    <comment ref="B181" authorId="2">
      <text>
        <r>
          <rPr>
            <b/>
            <sz val="8"/>
            <color indexed="81"/>
            <rFont val="Tahoma"/>
            <family val="2"/>
          </rPr>
          <t>met criteria for tech institute 1 ("12") in 2008-09</t>
        </r>
      </text>
    </comment>
    <comment ref="B183" authorId="2">
      <text>
        <r>
          <rPr>
            <b/>
            <sz val="8"/>
            <color indexed="81"/>
            <rFont val="Tahoma"/>
            <family val="2"/>
          </rPr>
          <t>met criteria for tech institute 1 ("12") in 2008-09</t>
        </r>
      </text>
    </comment>
    <comment ref="B187" authorId="2">
      <text>
        <r>
          <rPr>
            <b/>
            <sz val="8"/>
            <color indexed="81"/>
            <rFont val="Tahoma"/>
            <family val="2"/>
          </rPr>
          <t>Reclassified: Met the criteria for SREB four-year 1 in 2006-07, 2007-08, 2008-09.</t>
        </r>
      </text>
    </comment>
    <comment ref="B191" authorId="0">
      <text>
        <r>
          <rPr>
            <b/>
            <sz val="8"/>
            <color indexed="81"/>
            <rFont val="Tahoma"/>
            <family val="2"/>
          </rPr>
          <t>met the criteria for a SREB Four-Year 3 institution in 2008-09</t>
        </r>
      </text>
    </comment>
    <comment ref="B193" authorId="0">
      <text>
        <r>
          <rPr>
            <b/>
            <sz val="8"/>
            <color indexed="81"/>
            <rFont val="Tahoma"/>
            <family val="2"/>
          </rPr>
          <t>met the criteria for a SREB Four-Year 4 institution in 2008-09</t>
        </r>
      </text>
    </comment>
    <comment ref="B200" authorId="2">
      <text>
        <r>
          <rPr>
            <b/>
            <sz val="8"/>
            <color indexed="81"/>
            <rFont val="Tahoma"/>
            <family val="2"/>
          </rPr>
          <t>Reclassified: met the criteria for a SREB two-year 2 in 2006-07, 2007-08, 2008-09.</t>
        </r>
      </text>
    </comment>
    <comment ref="B205" authorId="2">
      <text>
        <r>
          <rPr>
            <b/>
            <sz val="8"/>
            <color indexed="81"/>
            <rFont val="Tahoma"/>
            <family val="2"/>
          </rPr>
          <t>Reclassified: met the criteria for a SREB two-year 3 in 2006-07, 2007-08, 2008-09.</t>
        </r>
      </text>
    </comment>
    <comment ref="B208" authorId="2">
      <text>
        <r>
          <rPr>
            <b/>
            <sz val="8"/>
            <color indexed="81"/>
            <rFont val="Tahoma"/>
            <family val="2"/>
          </rPr>
          <t>Reclassfied: met the criteria for a SREB tech institute or college 1 in 2006-07, 2007-08, 2008-09.</t>
        </r>
      </text>
    </comment>
    <comment ref="C211" authorId="2">
      <text>
        <r>
          <rPr>
            <b/>
            <sz val="8"/>
            <color indexed="81"/>
            <rFont val="Tahoma"/>
            <family val="2"/>
          </rPr>
          <t>Alicia A. Diaz:</t>
        </r>
        <r>
          <rPr>
            <sz val="8"/>
            <color indexed="81"/>
            <rFont val="Tahoma"/>
            <family val="2"/>
          </rPr>
          <t xml:space="preserve">
Louisiana Tech University has always been quarterly - may need to adjust calculations for years earlier than 2007</t>
        </r>
      </text>
    </comment>
    <comment ref="B222" authorId="0">
      <text>
        <r>
          <rPr>
            <b/>
            <sz val="8"/>
            <color indexed="81"/>
            <rFont val="Tahoma"/>
            <family val="2"/>
          </rPr>
          <t>met the criteria for classification as a SREB Four-year 4 institution in 2007-08, 2008-09.</t>
        </r>
      </text>
    </comment>
    <comment ref="B225" authorId="2">
      <text>
        <r>
          <rPr>
            <b/>
            <sz val="8"/>
            <color indexed="81"/>
            <rFont val="Tahoma"/>
            <family val="2"/>
          </rPr>
          <t>met criteria as a SREB two-year 1 ("8") institution in 2008-09</t>
        </r>
      </text>
    </comment>
    <comment ref="B231" authorId="2">
      <text>
        <r>
          <rPr>
            <b/>
            <sz val="8"/>
            <color indexed="81"/>
            <rFont val="Tahoma"/>
            <family val="2"/>
          </rPr>
          <t>met criteria as a SREB two-year 2 ("9") institution in 2008-09</t>
        </r>
      </text>
    </comment>
    <comment ref="B278" authorId="0">
      <text>
        <r>
          <rPr>
            <b/>
            <sz val="10"/>
            <color indexed="81"/>
            <rFont val="Tahoma"/>
            <family val="2"/>
          </rPr>
          <t>Reclassified: met the criteria for classification as a SREB Four-Year 3 in 2006-07, 2007-08 and 2008-09.</t>
        </r>
      </text>
    </comment>
    <comment ref="AQ281" authorId="2">
      <text>
        <r>
          <rPr>
            <b/>
            <sz val="8"/>
            <color indexed="81"/>
            <rFont val="Tahoma"/>
            <family val="2"/>
          </rPr>
          <t>Alicia A. Diaz:</t>
        </r>
        <r>
          <rPr>
            <sz val="8"/>
            <color indexed="81"/>
            <rFont val="Tahoma"/>
            <family val="2"/>
          </rPr>
          <t xml:space="preserve">
enrollment decline</t>
        </r>
      </text>
    </comment>
    <comment ref="AM286" authorId="2">
      <text>
        <r>
          <rPr>
            <b/>
            <sz val="8"/>
            <color indexed="81"/>
            <rFont val="Tahoma"/>
            <family val="2"/>
          </rPr>
          <t>St. Mary's College of Maryland offered graduate programs for the the first time in 2006-2007. no winter semester</t>
        </r>
      </text>
    </comment>
    <comment ref="AO286" authorId="2">
      <text>
        <r>
          <rPr>
            <b/>
            <sz val="8"/>
            <color indexed="81"/>
            <rFont val="Tahoma"/>
            <family val="2"/>
          </rPr>
          <t>St. Mary's College of Maryland offered graduate programs for the the first time in 2006-2007.</t>
        </r>
      </text>
    </comment>
    <comment ref="AQ286" authorId="2">
      <text>
        <r>
          <rPr>
            <b/>
            <sz val="8"/>
            <color indexed="81"/>
            <rFont val="Tahoma"/>
            <family val="2"/>
          </rPr>
          <t>St. Mary's College of Maryland offered graduate programs for the the first time in 2006-2007.</t>
        </r>
      </text>
    </comment>
    <comment ref="AS286" authorId="2">
      <text>
        <r>
          <rPr>
            <b/>
            <sz val="8"/>
            <color indexed="81"/>
            <rFont val="Tahoma"/>
            <family val="2"/>
          </rPr>
          <t>St. Mary's College of Maryland offered graduate programs for the the first time in 2006-2007.</t>
        </r>
      </text>
    </comment>
    <comment ref="B298" authorId="0">
      <text>
        <r>
          <rPr>
            <b/>
            <sz val="10"/>
            <color indexed="81"/>
            <rFont val="Tahoma"/>
            <family val="2"/>
          </rPr>
          <t>Met the criteria for classification as a SREB Two-Year 2 ("9") in 2008-09.</t>
        </r>
      </text>
    </comment>
    <comment ref="G300" authorId="3">
      <text>
        <r>
          <rPr>
            <b/>
            <sz val="8"/>
            <color indexed="81"/>
            <rFont val="Tahoma"/>
            <family val="2"/>
          </rPr>
          <t>lfilipp:</t>
        </r>
        <r>
          <rPr>
            <sz val="8"/>
            <color indexed="81"/>
            <rFont val="Tahoma"/>
            <family val="2"/>
          </rPr>
          <t xml:space="preserve">
Chesapeake submitted revised figures for all four quarters of 2007</t>
        </r>
      </text>
    </comment>
    <comment ref="K301" authorId="3">
      <text>
        <r>
          <rPr>
            <b/>
            <sz val="8"/>
            <color indexed="81"/>
            <rFont val="Tahoma"/>
            <family val="2"/>
          </rPr>
          <t>lfilipp:</t>
        </r>
        <r>
          <rPr>
            <sz val="8"/>
            <color indexed="81"/>
            <rFont val="Tahoma"/>
            <family val="2"/>
          </rPr>
          <t xml:space="preserve">
Garrett submitted revised figure for summer 2007.</t>
        </r>
      </text>
    </comment>
    <comment ref="B302" authorId="0">
      <text>
        <r>
          <rPr>
            <b/>
            <sz val="10"/>
            <color indexed="81"/>
            <rFont val="Tahoma"/>
            <family val="2"/>
          </rPr>
          <t>Met the criteria for classification as a SREB Two-Year 2 ("9") in 2008-09.</t>
        </r>
      </text>
    </comment>
    <comment ref="B310" authorId="0">
      <text>
        <r>
          <rPr>
            <b/>
            <sz val="8"/>
            <color indexed="81"/>
            <rFont val="Tahoma"/>
            <family val="2"/>
          </rPr>
          <t>met the criteria for a SREB Four-Year 4 institution in 2007-08, 2008-09</t>
        </r>
      </text>
    </comment>
    <comment ref="C311" authorId="4">
      <text>
        <r>
          <rPr>
            <sz val="8"/>
            <color indexed="8"/>
            <rFont val="Tahoma"/>
            <family val="2"/>
          </rPr>
          <t>includes Raymond campus (175786), Jackson campus (175777), Rankin campus (175795) and Vicksburg-Warren county (175801)</t>
        </r>
      </text>
    </comment>
    <comment ref="C314" authorId="4">
      <text>
        <r>
          <rPr>
            <sz val="8"/>
            <color indexed="8"/>
            <rFont val="Tahoma"/>
            <family val="2"/>
          </rPr>
          <t>includes Natchez campus (175564)</t>
        </r>
      </text>
    </comment>
    <comment ref="B318" authorId="2">
      <text>
        <r>
          <rPr>
            <b/>
            <sz val="8"/>
            <color indexed="81"/>
            <rFont val="Tahoma"/>
            <family val="2"/>
          </rPr>
          <t>met criteria as a SREB two-year 1 ("8") institution in 2008-09</t>
        </r>
      </text>
    </comment>
    <comment ref="C323" authorId="4">
      <text>
        <r>
          <rPr>
            <sz val="8"/>
            <color indexed="8"/>
            <rFont val="Tahoma"/>
            <family val="2"/>
          </rPr>
          <t>includes Forrest county center (408127)</t>
        </r>
      </text>
    </comment>
    <comment ref="B332" authorId="2">
      <text>
        <r>
          <rPr>
            <b/>
            <sz val="8"/>
            <color indexed="81"/>
            <rFont val="Tahoma"/>
            <family val="2"/>
          </rPr>
          <t>formerly North Carolina Agricultural and Technical State University</t>
        </r>
      </text>
    </comment>
    <comment ref="B336" authorId="0">
      <text>
        <r>
          <rPr>
            <b/>
            <sz val="8"/>
            <color indexed="81"/>
            <rFont val="Tahoma"/>
            <family val="2"/>
          </rPr>
          <t>met the criteria for a SREB Four-Year 3 institution in 2008-09</t>
        </r>
      </text>
    </comment>
    <comment ref="AS339" authorId="2">
      <text>
        <r>
          <rPr>
            <b/>
            <sz val="8"/>
            <color indexed="81"/>
            <rFont val="Tahoma"/>
            <family val="2"/>
          </rPr>
          <t>Alicia A. Diaz:</t>
        </r>
        <r>
          <rPr>
            <sz val="8"/>
            <color indexed="81"/>
            <rFont val="Tahoma"/>
            <family val="2"/>
          </rPr>
          <t xml:space="preserve">
ramped up several new graduate programs</t>
        </r>
      </text>
    </comment>
    <comment ref="B357" authorId="2">
      <text>
        <r>
          <rPr>
            <b/>
            <sz val="8"/>
            <color indexed="81"/>
            <rFont val="Tahoma"/>
            <family val="2"/>
          </rPr>
          <t>Alicia A. Diaz:
met the criteria for SREB 2 Year 1 in 2008-09</t>
        </r>
      </text>
    </comment>
    <comment ref="B362" authorId="2">
      <text>
        <r>
          <rPr>
            <b/>
            <sz val="8"/>
            <color indexed="81"/>
            <rFont val="Tahoma"/>
            <family val="2"/>
          </rPr>
          <t>Alicia A. Diaz:
met the criteria for SREB 2 Year 1 in 2008-09</t>
        </r>
      </text>
    </comment>
    <comment ref="B367" authorId="2">
      <text>
        <r>
          <rPr>
            <b/>
            <sz val="8"/>
            <color indexed="81"/>
            <rFont val="Tahoma"/>
            <family val="2"/>
          </rPr>
          <t>Reclassified: met criteria as a SREB two-year 2 institution in 2006-07, 2007-08 and 2008-09.</t>
        </r>
      </text>
    </comment>
    <comment ref="B386" authorId="0">
      <text>
        <r>
          <rPr>
            <b/>
            <sz val="8"/>
            <color indexed="81"/>
            <rFont val="Tahoma"/>
            <family val="2"/>
          </rPr>
          <t>Reclassified: met the criteria for SREB Two-Year 3 in 2006-07, 2007-08 and 2008-09.</t>
        </r>
      </text>
    </comment>
    <comment ref="B412" authorId="0">
      <text>
        <r>
          <rPr>
            <b/>
            <sz val="8"/>
            <color indexed="81"/>
            <rFont val="Tahoma"/>
            <family val="2"/>
          </rPr>
          <t>Reclassified: met criteria as a SREB Two-Year with Bachelor's in 2006-07, 2007-08 and 2008-09</t>
        </r>
      </text>
    </comment>
    <comment ref="B413" authorId="2">
      <text>
        <r>
          <rPr>
            <b/>
            <sz val="8"/>
            <color indexed="81"/>
            <rFont val="Tahoma"/>
            <family val="2"/>
          </rPr>
          <t>met the criteria for SREB 2 Year 2 ("9") in 2008-09</t>
        </r>
      </text>
    </comment>
    <comment ref="B415" authorId="2">
      <text>
        <r>
          <rPr>
            <b/>
            <sz val="8"/>
            <color indexed="81"/>
            <rFont val="Tahoma"/>
            <family val="2"/>
          </rPr>
          <t>met the criteria for SREB 2 Year 3 ("10") in 2008-09</t>
        </r>
      </text>
    </comment>
    <comment ref="B429" authorId="2">
      <text>
        <r>
          <rPr>
            <b/>
            <sz val="8"/>
            <color indexed="81"/>
            <rFont val="Tahoma"/>
            <family val="2"/>
          </rPr>
          <t>met criteria as a SREB technical institute or college 2 ("13")  in 2007-08, 2008-09.</t>
        </r>
      </text>
    </comment>
    <comment ref="B433" authorId="2">
      <text>
        <r>
          <rPr>
            <b/>
            <sz val="8"/>
            <color indexed="81"/>
            <rFont val="Tahoma"/>
            <family val="2"/>
          </rPr>
          <t>met criteria as a SREB technical institute or college 1 ("12")  in 2007-08, 2008-09.</t>
        </r>
      </text>
    </comment>
    <comment ref="B479" authorId="0">
      <text>
        <r>
          <rPr>
            <b/>
            <sz val="8"/>
            <color indexed="81"/>
            <rFont val="Tahoma"/>
            <family val="2"/>
          </rPr>
          <t>met the criteria for a SREB Four-Year 6 institution in 2007-08, 2008-09</t>
        </r>
      </text>
    </comment>
    <comment ref="B483" authorId="0">
      <text>
        <r>
          <rPr>
            <b/>
            <sz val="8"/>
            <color indexed="81"/>
            <rFont val="Tahoma"/>
            <family val="2"/>
          </rPr>
          <t>met the criteria for a SREB Four-Year 6 institution in 2007-08, 2008-09</t>
        </r>
      </text>
    </comment>
    <comment ref="B505" authorId="2">
      <text>
        <r>
          <rPr>
            <b/>
            <sz val="8"/>
            <color indexed="81"/>
            <rFont val="Tahoma"/>
            <family val="2"/>
          </rPr>
          <t>Met the criteria for SREB four-year 1 in 2007-08, 2008-09</t>
        </r>
      </text>
    </comment>
    <comment ref="B510" authorId="2">
      <text>
        <r>
          <rPr>
            <b/>
            <sz val="8"/>
            <color indexed="81"/>
            <rFont val="Tahoma"/>
            <family val="2"/>
          </rPr>
          <t xml:space="preserve">met the criteria for a SREB Four-Year 3 institution in 2008-09
</t>
        </r>
      </text>
    </comment>
    <comment ref="B511" authorId="2">
      <text>
        <r>
          <rPr>
            <b/>
            <sz val="8"/>
            <color indexed="81"/>
            <rFont val="Tahoma"/>
            <family val="2"/>
          </rPr>
          <t xml:space="preserve">met the criteria for a SREB Four-Year 3 institution in 2007-08, 2008-09
</t>
        </r>
      </text>
    </comment>
    <comment ref="B557" authorId="2">
      <text>
        <r>
          <rPr>
            <b/>
            <sz val="8"/>
            <color indexed="81"/>
            <rFont val="Tahoma"/>
            <family val="2"/>
          </rPr>
          <t xml:space="preserve">Reclassified: met the criteria for a SREB Four-Year 1 institution in 2006-07, 2007-08, and 2008-09.
</t>
        </r>
      </text>
    </comment>
    <comment ref="B561" authorId="2">
      <text>
        <r>
          <rPr>
            <b/>
            <sz val="8"/>
            <color indexed="81"/>
            <rFont val="Tahoma"/>
            <family val="2"/>
          </rPr>
          <t>Reclassfied: met the criteria for a SREB Four-Year 2 institution in 2006-07, 2007-08 and 2008-09.</t>
        </r>
      </text>
    </comment>
    <comment ref="B576" authorId="2">
      <text>
        <r>
          <rPr>
            <b/>
            <sz val="8"/>
            <color indexed="81"/>
            <rFont val="Tahoma"/>
            <family val="2"/>
          </rPr>
          <t>met the criteria for a SREB Four-Year 2 institution in 2007-08, 2008-09</t>
        </r>
      </text>
    </comment>
    <comment ref="B581" authorId="2">
      <text>
        <r>
          <rPr>
            <b/>
            <sz val="8"/>
            <color indexed="81"/>
            <rFont val="Tahoma"/>
            <family val="2"/>
          </rPr>
          <t xml:space="preserve">met the criteria for a SREB Four-Year 3 institution in 2007-08, 2008-09
</t>
        </r>
      </text>
    </comment>
    <comment ref="B582" authorId="2">
      <text>
        <r>
          <rPr>
            <b/>
            <sz val="8"/>
            <color indexed="81"/>
            <rFont val="Tahoma"/>
            <family val="2"/>
          </rPr>
          <t xml:space="preserve">met the criteria for a SREB Four-Year 3 institution in 2008-09
</t>
        </r>
      </text>
    </comment>
    <comment ref="B586" authorId="2">
      <text>
        <r>
          <rPr>
            <b/>
            <sz val="8"/>
            <color indexed="81"/>
            <rFont val="Tahoma"/>
            <family val="2"/>
          </rPr>
          <t xml:space="preserve">met the criteria for a SREB Four-Year 4 institution in 2007-08, 2008-09
</t>
        </r>
      </text>
    </comment>
    <comment ref="B609" authorId="0">
      <text>
        <r>
          <rPr>
            <b/>
            <sz val="8"/>
            <color indexed="81"/>
            <rFont val="Tahoma"/>
            <family val="2"/>
          </rPr>
          <t>met criteria as a SREB Two-Year with Bachelor's ("7") in 2007-08, 2008-09.</t>
        </r>
      </text>
    </comment>
    <comment ref="A614" authorId="1">
      <text>
        <r>
          <rPr>
            <b/>
            <sz val="8"/>
            <color indexed="81"/>
            <rFont val="Tahoma"/>
            <family val="2"/>
          </rPr>
          <t>jmarks:</t>
        </r>
        <r>
          <rPr>
            <sz val="8"/>
            <color indexed="81"/>
            <rFont val="Tahoma"/>
            <family val="2"/>
          </rPr>
          <t xml:space="preserve">
Texas com. Cols. report 1st semester of a calendar year as winter rather than the more common practice of reporting them as spring so that they can report their summer 1 term in spring and their summer 2 term in summer.</t>
        </r>
      </text>
    </comment>
    <comment ref="B616" authorId="0">
      <text>
        <r>
          <rPr>
            <b/>
            <sz val="8"/>
            <color indexed="81"/>
            <rFont val="Tahoma"/>
            <family val="2"/>
          </rPr>
          <t>met criteria as a SREB Two-Year with Bachelor's ("7") in 2007-08, 2008-09.</t>
        </r>
      </text>
    </comment>
    <comment ref="B621" authorId="0">
      <text>
        <r>
          <rPr>
            <b/>
            <sz val="8"/>
            <color indexed="81"/>
            <rFont val="Tahoma"/>
            <family val="2"/>
          </rPr>
          <t>met criteria as a SREB Two-Year 1 ("8") in 2008-09.</t>
        </r>
      </text>
    </comment>
    <comment ref="B628" authorId="0">
      <text>
        <r>
          <rPr>
            <b/>
            <sz val="8"/>
            <color indexed="81"/>
            <rFont val="Tahoma"/>
            <family val="2"/>
          </rPr>
          <t>met criteria as a SREB Two-Year with Bachelor's ("7") in 2007-08, 2008-09.</t>
        </r>
      </text>
    </comment>
    <comment ref="B630" authorId="0">
      <text>
        <r>
          <rPr>
            <b/>
            <sz val="8"/>
            <color indexed="81"/>
            <rFont val="Tahoma"/>
            <family val="2"/>
          </rPr>
          <t>met criteria as a SREB Two-Year 1 ("8") in 2008-09.</t>
        </r>
      </text>
    </comment>
    <comment ref="C648" authorId="2">
      <text>
        <r>
          <rPr>
            <b/>
            <sz val="8"/>
            <color indexed="81"/>
            <rFont val="Tahoma"/>
            <family val="2"/>
          </rPr>
          <t>Alicia A. Diaz:</t>
        </r>
        <r>
          <rPr>
            <sz val="8"/>
            <color indexed="81"/>
            <rFont val="Tahoma"/>
            <family val="2"/>
          </rPr>
          <t xml:space="preserve">
Not assigned until SACS accreditation</t>
        </r>
      </text>
    </comment>
    <comment ref="D656" authorId="1">
      <text>
        <r>
          <rPr>
            <b/>
            <sz val="8"/>
            <color indexed="81"/>
            <rFont val="Tahoma"/>
            <family val="2"/>
          </rPr>
          <t>jmarks:</t>
        </r>
        <r>
          <rPr>
            <sz val="8"/>
            <color indexed="81"/>
            <rFont val="Tahoma"/>
            <family val="2"/>
          </rPr>
          <t xml:space="preserve">
Since the funding data are consolidated, the SCH/FTE have been consolidated. By campus is preferred but must be done in both sections.</t>
        </r>
      </text>
    </comment>
    <comment ref="D657" authorId="1">
      <text>
        <r>
          <rPr>
            <b/>
            <sz val="8"/>
            <color indexed="81"/>
            <rFont val="Tahoma"/>
            <family val="2"/>
          </rPr>
          <t>jmarks:</t>
        </r>
        <r>
          <rPr>
            <sz val="8"/>
            <color indexed="81"/>
            <rFont val="Tahoma"/>
            <family val="2"/>
          </rPr>
          <t xml:space="preserve">
Since the funding data are consolidated, the SCH/FTE have been consolidated. By campus is preferred but must be done in both sections.</t>
        </r>
      </text>
    </comment>
    <comment ref="D658" authorId="1">
      <text>
        <r>
          <rPr>
            <b/>
            <sz val="8"/>
            <color indexed="81"/>
            <rFont val="Tahoma"/>
            <family val="2"/>
          </rPr>
          <t>jmarks:</t>
        </r>
        <r>
          <rPr>
            <sz val="8"/>
            <color indexed="81"/>
            <rFont val="Tahoma"/>
            <family val="2"/>
          </rPr>
          <t xml:space="preserve">
Since the funding data are consolidated, the SCH/FTE have been consolidated. By campus is preferred but must be done in both sections.</t>
        </r>
      </text>
    </comment>
    <comment ref="D659" authorId="1">
      <text>
        <r>
          <rPr>
            <b/>
            <sz val="8"/>
            <color indexed="81"/>
            <rFont val="Tahoma"/>
            <family val="2"/>
          </rPr>
          <t>jmarks:</t>
        </r>
        <r>
          <rPr>
            <sz val="8"/>
            <color indexed="81"/>
            <rFont val="Tahoma"/>
            <family val="2"/>
          </rPr>
          <t xml:space="preserve">
Since the funding data are consolidated, the SCH/FTE have been consolidated. By campus is preferred but must be done in both sections.</t>
        </r>
      </text>
    </comment>
    <comment ref="D661" authorId="1">
      <text>
        <r>
          <rPr>
            <b/>
            <sz val="8"/>
            <color indexed="81"/>
            <rFont val="Tahoma"/>
            <family val="2"/>
          </rPr>
          <t>jmarks:</t>
        </r>
        <r>
          <rPr>
            <sz val="8"/>
            <color indexed="81"/>
            <rFont val="Tahoma"/>
            <family val="2"/>
          </rPr>
          <t xml:space="preserve">
Since the funding data are consolidated, the SCH/FTE have been consolidated. By campus is preferred but must be done in both sections.</t>
        </r>
      </text>
    </comment>
    <comment ref="D662" authorId="1">
      <text>
        <r>
          <rPr>
            <b/>
            <sz val="8"/>
            <color indexed="81"/>
            <rFont val="Tahoma"/>
            <family val="2"/>
          </rPr>
          <t>jmarks:</t>
        </r>
        <r>
          <rPr>
            <sz val="8"/>
            <color indexed="81"/>
            <rFont val="Tahoma"/>
            <family val="2"/>
          </rPr>
          <t xml:space="preserve">
Since the funding data are consolidated, the SCH/FTE have been consolidated. By campus is preferred but must be done in both sections.</t>
        </r>
      </text>
    </comment>
    <comment ref="D663" authorId="1">
      <text>
        <r>
          <rPr>
            <b/>
            <sz val="8"/>
            <color indexed="81"/>
            <rFont val="Tahoma"/>
            <family val="2"/>
          </rPr>
          <t>jmarks:</t>
        </r>
        <r>
          <rPr>
            <sz val="8"/>
            <color indexed="81"/>
            <rFont val="Tahoma"/>
            <family val="2"/>
          </rPr>
          <t xml:space="preserve">
Since the funding data are consolidated, the SCH/FTE have been consolidated. By campus is preferred but must be done in both sections.</t>
        </r>
      </text>
    </comment>
    <comment ref="D664" authorId="1">
      <text>
        <r>
          <rPr>
            <b/>
            <sz val="8"/>
            <color indexed="81"/>
            <rFont val="Tahoma"/>
            <family val="2"/>
          </rPr>
          <t>jmarks:</t>
        </r>
        <r>
          <rPr>
            <sz val="8"/>
            <color indexed="81"/>
            <rFont val="Tahoma"/>
            <family val="2"/>
          </rPr>
          <t xml:space="preserve">
Since the funding data are consolidated, the SCH/FTE have been consolidated. By campus is preferred but must be done in both sections.</t>
        </r>
      </text>
    </comment>
    <comment ref="B665" authorId="0">
      <text>
        <r>
          <rPr>
            <b/>
            <sz val="8"/>
            <color indexed="81"/>
            <rFont val="Tahoma"/>
            <family val="2"/>
          </rPr>
          <t>Reclassified: Met criteria for classification as a SREB Four-Year 1 in 2006-07, 2007-08 and 2008-09</t>
        </r>
      </text>
    </comment>
    <comment ref="K666" authorId="5">
      <text>
        <r>
          <rPr>
            <b/>
            <sz val="8"/>
            <color indexed="81"/>
            <rFont val="Tahoma"/>
            <family val="2"/>
          </rPr>
          <t>AngelaDetlev:</t>
        </r>
        <r>
          <rPr>
            <sz val="8"/>
            <color indexed="81"/>
            <rFont val="Tahoma"/>
            <family val="2"/>
          </rPr>
          <t xml:space="preserve">
data checked and correct</t>
        </r>
      </text>
    </comment>
    <comment ref="B669" authorId="0">
      <text>
        <r>
          <rPr>
            <b/>
            <sz val="8"/>
            <color indexed="81"/>
            <rFont val="Tahoma"/>
            <family val="2"/>
          </rPr>
          <t>Met criteria for classification as a SREB Four-Year 1 in 2007-08, 2008-09.</t>
        </r>
      </text>
    </comment>
    <comment ref="B672" authorId="0">
      <text>
        <r>
          <rPr>
            <b/>
            <sz val="8"/>
            <color indexed="81"/>
            <rFont val="Tahoma"/>
            <family val="2"/>
          </rPr>
          <t>Met criteria for classification as a SREB Four-Year 4 in 2007-08, 2008-09.</t>
        </r>
      </text>
    </comment>
    <comment ref="B673" authorId="0">
      <text>
        <r>
          <rPr>
            <b/>
            <sz val="8"/>
            <color indexed="81"/>
            <rFont val="Tahoma"/>
            <family val="2"/>
          </rPr>
          <t>Met criteria for classification as a SREB Four-Year 5 in 2007-08, 2008-09.</t>
        </r>
      </text>
    </comment>
    <comment ref="B674" authorId="0">
      <text>
        <r>
          <rPr>
            <b/>
            <sz val="8"/>
            <color indexed="81"/>
            <rFont val="Tahoma"/>
            <family val="2"/>
          </rPr>
          <t>Met criteria for classification as a SREB Four-Year 3 in 2007-08, 2008-09.</t>
        </r>
      </text>
    </comment>
    <comment ref="AQ675" authorId="5">
      <text>
        <r>
          <rPr>
            <b/>
            <sz val="8"/>
            <color indexed="81"/>
            <rFont val="Tahoma"/>
            <family val="2"/>
          </rPr>
          <t>AngelaDetlev:</t>
        </r>
        <r>
          <rPr>
            <sz val="8"/>
            <color indexed="81"/>
            <rFont val="Tahoma"/>
            <family val="2"/>
          </rPr>
          <t xml:space="preserve">
data checked and correct</t>
        </r>
      </text>
    </comment>
    <comment ref="B676" authorId="0">
      <text>
        <r>
          <rPr>
            <b/>
            <sz val="8"/>
            <color indexed="81"/>
            <rFont val="Tahoma"/>
            <family val="2"/>
          </rPr>
          <t>Met criteria for classification as a SREB Four-Year 4 in 2008-09.</t>
        </r>
      </text>
    </comment>
    <comment ref="B697" authorId="0">
      <text>
        <r>
          <rPr>
            <b/>
            <sz val="8"/>
            <color indexed="81"/>
            <rFont val="Tahoma"/>
            <family val="2"/>
          </rPr>
          <t>Reclassified:met the criteria for classification as a SREB Two-Year 3 "10" in 2006-07, 2007-08, and 2008-09</t>
        </r>
      </text>
    </comment>
    <comment ref="B710" authorId="0">
      <text>
        <r>
          <rPr>
            <b/>
            <sz val="8"/>
            <color indexed="81"/>
            <rFont val="Tahoma"/>
            <family val="2"/>
          </rPr>
          <t>met the criteria for a SREB Four-Year 5 institution in 2007-08, 2008-09</t>
        </r>
      </text>
    </comment>
    <comment ref="Q710" authorId="6">
      <text>
        <r>
          <rPr>
            <b/>
            <sz val="8"/>
            <color indexed="81"/>
            <rFont val="Tahoma"/>
            <family val="2"/>
          </rPr>
          <t>Jeannie Reed:</t>
        </r>
        <r>
          <rPr>
            <sz val="8"/>
            <color indexed="81"/>
            <rFont val="Tahoma"/>
            <family val="2"/>
          </rPr>
          <t xml:space="preserve">
Handled by Pierpont CTC.</t>
        </r>
      </text>
    </comment>
    <comment ref="U710" authorId="6">
      <text>
        <r>
          <rPr>
            <b/>
            <sz val="8"/>
            <color indexed="81"/>
            <rFont val="Tahoma"/>
            <family val="2"/>
          </rPr>
          <t>Jeannie Reed:</t>
        </r>
        <r>
          <rPr>
            <sz val="8"/>
            <color indexed="81"/>
            <rFont val="Tahoma"/>
            <family val="2"/>
          </rPr>
          <t xml:space="preserve">
Handled by Pierpont CTC.</t>
        </r>
      </text>
    </comment>
    <comment ref="B712" authorId="0">
      <text>
        <r>
          <rPr>
            <b/>
            <sz val="8"/>
            <color indexed="81"/>
            <rFont val="Tahoma"/>
            <family val="2"/>
          </rPr>
          <t>met the criteria for a SREB Four-Year 5 institution in 2008-09</t>
        </r>
      </text>
    </comment>
    <comment ref="B713" authorId="6">
      <text>
        <r>
          <rPr>
            <b/>
            <sz val="8"/>
            <color indexed="81"/>
            <rFont val="Tahoma"/>
            <family val="2"/>
          </rPr>
          <t xml:space="preserve">Formerly </t>
        </r>
        <r>
          <rPr>
            <sz val="8"/>
            <color indexed="81"/>
            <rFont val="Tahoma"/>
            <family val="2"/>
          </rPr>
          <t xml:space="preserve">West Liberty State College </t>
        </r>
      </text>
    </comment>
    <comment ref="B717" authorId="2">
      <text>
        <r>
          <rPr>
            <b/>
            <sz val="8"/>
            <color indexed="81"/>
            <rFont val="Tahoma"/>
            <family val="2"/>
          </rPr>
          <t>met criteria as a SREB two-year 3 ("10") institution in 2007-08, 2008-09.</t>
        </r>
      </text>
    </comment>
    <comment ref="C717" authorId="2">
      <text>
        <r>
          <rPr>
            <b/>
            <sz val="8"/>
            <color indexed="81"/>
            <rFont val="Tahoma"/>
            <family val="2"/>
          </rPr>
          <t>Formerly Fairmont State Community &amp; Technical College</t>
        </r>
      </text>
    </comment>
    <comment ref="C718" authorId="2">
      <text>
        <r>
          <rPr>
            <b/>
            <sz val="8"/>
            <color indexed="81"/>
            <rFont val="Tahoma"/>
            <family val="2"/>
          </rPr>
          <t>Formerly Community &amp; Technical College of Shepherd</t>
        </r>
      </text>
    </comment>
    <comment ref="B723" authorId="2">
      <text>
        <r>
          <rPr>
            <b/>
            <sz val="8"/>
            <color indexed="81"/>
            <rFont val="Tahoma"/>
            <family val="2"/>
          </rPr>
          <t>met criteria as a SREB two-year with bachelor's ("7") institution in 2007-08, 2008-09.</t>
        </r>
      </text>
    </comment>
  </commentList>
</comments>
</file>

<file path=xl/comments2.xml><?xml version="1.0" encoding="utf-8"?>
<comments xmlns="http://schemas.openxmlformats.org/spreadsheetml/2006/main">
  <authors>
    <author>jmarks</author>
    <author>JLM</author>
  </authors>
  <commentList>
    <comment ref="AL181" authorId="0">
      <text>
        <r>
          <rPr>
            <b/>
            <sz val="8"/>
            <color indexed="81"/>
            <rFont val="Tahoma"/>
            <family val="2"/>
          </rPr>
          <t>jmarks:</t>
        </r>
        <r>
          <rPr>
            <sz val="8"/>
            <color indexed="81"/>
            <rFont val="Tahoma"/>
            <family val="2"/>
          </rPr>
          <t xml:space="preserve">
differs to match grouping of funding data</t>
        </r>
      </text>
    </comment>
    <comment ref="AM181" authorId="0">
      <text>
        <r>
          <rPr>
            <b/>
            <sz val="8"/>
            <color indexed="81"/>
            <rFont val="Tahoma"/>
            <family val="2"/>
          </rPr>
          <t>jmarks:</t>
        </r>
        <r>
          <rPr>
            <sz val="8"/>
            <color indexed="81"/>
            <rFont val="Tahoma"/>
            <family val="2"/>
          </rPr>
          <t xml:space="preserve">
differs to match grouping of funding data</t>
        </r>
      </text>
    </comment>
    <comment ref="AN181" authorId="0">
      <text>
        <r>
          <rPr>
            <b/>
            <sz val="8"/>
            <color indexed="81"/>
            <rFont val="Tahoma"/>
            <family val="2"/>
          </rPr>
          <t>jmarks:</t>
        </r>
        <r>
          <rPr>
            <sz val="8"/>
            <color indexed="81"/>
            <rFont val="Tahoma"/>
            <family val="2"/>
          </rPr>
          <t xml:space="preserve">
differs to match grouping of funding data</t>
        </r>
      </text>
    </comment>
    <comment ref="BA181" authorId="0">
      <text>
        <r>
          <rPr>
            <b/>
            <sz val="8"/>
            <color indexed="81"/>
            <rFont val="Tahoma"/>
            <family val="2"/>
          </rPr>
          <t>jmarks:</t>
        </r>
        <r>
          <rPr>
            <sz val="8"/>
            <color indexed="81"/>
            <rFont val="Tahoma"/>
            <family val="2"/>
          </rPr>
          <t xml:space="preserve">
differs to match grouping of funding data</t>
        </r>
      </text>
    </comment>
    <comment ref="BB181" authorId="0">
      <text>
        <r>
          <rPr>
            <b/>
            <sz val="8"/>
            <color indexed="81"/>
            <rFont val="Tahoma"/>
            <family val="2"/>
          </rPr>
          <t>jmarks:</t>
        </r>
        <r>
          <rPr>
            <sz val="8"/>
            <color indexed="81"/>
            <rFont val="Tahoma"/>
            <family val="2"/>
          </rPr>
          <t xml:space="preserve">
differs to match grouping of funding data</t>
        </r>
      </text>
    </comment>
    <comment ref="BC181" authorId="0">
      <text>
        <r>
          <rPr>
            <b/>
            <sz val="8"/>
            <color indexed="81"/>
            <rFont val="Tahoma"/>
            <family val="2"/>
          </rPr>
          <t>jmarks:</t>
        </r>
        <r>
          <rPr>
            <sz val="8"/>
            <color indexed="81"/>
            <rFont val="Tahoma"/>
            <family val="2"/>
          </rPr>
          <t xml:space="preserve">
differs to match grouping of funding data</t>
        </r>
      </text>
    </comment>
    <comment ref="AN182"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AO182" authorId="0">
      <text>
        <r>
          <rPr>
            <b/>
            <sz val="8"/>
            <color indexed="81"/>
            <rFont val="Tahoma"/>
            <family val="2"/>
          </rPr>
          <t>jmarks:</t>
        </r>
        <r>
          <rPr>
            <sz val="8"/>
            <color indexed="81"/>
            <rFont val="Tahoma"/>
            <family val="2"/>
          </rPr>
          <t xml:space="preserve">
differs to match grouping of funding dat</t>
        </r>
      </text>
    </comment>
    <comment ref="BC182"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BD182" authorId="0">
      <text>
        <r>
          <rPr>
            <b/>
            <sz val="8"/>
            <color indexed="81"/>
            <rFont val="Tahoma"/>
            <family val="2"/>
          </rPr>
          <t>jmarks:</t>
        </r>
        <r>
          <rPr>
            <sz val="8"/>
            <color indexed="81"/>
            <rFont val="Tahoma"/>
            <family val="2"/>
          </rPr>
          <t xml:space="preserve">
differs to match grouping of funding dat</t>
        </r>
      </text>
    </comment>
    <comment ref="AM207" authorId="1">
      <text>
        <r>
          <rPr>
            <b/>
            <sz val="10"/>
            <color indexed="81"/>
            <rFont val="Tahoma"/>
            <family val="2"/>
          </rPr>
          <t>JLM:</t>
        </r>
        <r>
          <rPr>
            <sz val="10"/>
            <color indexed="81"/>
            <rFont val="Tahoma"/>
            <family val="2"/>
          </rPr>
          <t xml:space="preserve">
suppressed because no funding data reported
</t>
        </r>
      </text>
    </comment>
    <comment ref="AN207" authorId="1">
      <text>
        <r>
          <rPr>
            <b/>
            <sz val="10"/>
            <color indexed="81"/>
            <rFont val="Tahoma"/>
            <family val="2"/>
          </rPr>
          <t>JLM:</t>
        </r>
        <r>
          <rPr>
            <sz val="10"/>
            <color indexed="81"/>
            <rFont val="Tahoma"/>
            <family val="2"/>
          </rPr>
          <t xml:space="preserve">
suppressed because no funding data reported
</t>
        </r>
      </text>
    </comment>
    <comment ref="AP207" authorId="1">
      <text>
        <r>
          <rPr>
            <b/>
            <sz val="10"/>
            <color indexed="81"/>
            <rFont val="Tahoma"/>
            <family val="2"/>
          </rPr>
          <t>JLM:</t>
        </r>
        <r>
          <rPr>
            <sz val="10"/>
            <color indexed="81"/>
            <rFont val="Tahoma"/>
            <family val="2"/>
          </rPr>
          <t xml:space="preserve">
suppressed because no funding data reported
</t>
        </r>
      </text>
    </comment>
    <comment ref="AX207" authorId="1">
      <text>
        <r>
          <rPr>
            <b/>
            <sz val="10"/>
            <color indexed="81"/>
            <rFont val="Tahoma"/>
            <family val="2"/>
          </rPr>
          <t>JLM:</t>
        </r>
        <r>
          <rPr>
            <sz val="10"/>
            <color indexed="81"/>
            <rFont val="Tahoma"/>
            <family val="2"/>
          </rPr>
          <t xml:space="preserve">
suppressed because no funding data reported
</t>
        </r>
      </text>
    </comment>
    <comment ref="AY207" authorId="1">
      <text>
        <r>
          <rPr>
            <b/>
            <sz val="10"/>
            <color indexed="81"/>
            <rFont val="Tahoma"/>
            <family val="2"/>
          </rPr>
          <t>JLM:</t>
        </r>
        <r>
          <rPr>
            <sz val="10"/>
            <color indexed="81"/>
            <rFont val="Tahoma"/>
            <family val="2"/>
          </rPr>
          <t xml:space="preserve">
suppressed because no funding data reported
</t>
        </r>
      </text>
    </comment>
    <comment ref="AZ207" authorId="1">
      <text>
        <r>
          <rPr>
            <b/>
            <sz val="10"/>
            <color indexed="81"/>
            <rFont val="Tahoma"/>
            <family val="2"/>
          </rPr>
          <t>JLM:</t>
        </r>
        <r>
          <rPr>
            <sz val="10"/>
            <color indexed="81"/>
            <rFont val="Tahoma"/>
            <family val="2"/>
          </rPr>
          <t xml:space="preserve">
suppressed because no funding data reported
</t>
        </r>
      </text>
    </comment>
    <comment ref="BA207" authorId="1">
      <text>
        <r>
          <rPr>
            <b/>
            <sz val="10"/>
            <color indexed="81"/>
            <rFont val="Tahoma"/>
            <family val="2"/>
          </rPr>
          <t>JLM:</t>
        </r>
        <r>
          <rPr>
            <sz val="10"/>
            <color indexed="81"/>
            <rFont val="Tahoma"/>
            <family val="2"/>
          </rPr>
          <t xml:space="preserve">
suppressed because no funding data reported
</t>
        </r>
      </text>
    </comment>
    <comment ref="AG218" authorId="1">
      <text>
        <r>
          <rPr>
            <b/>
            <sz val="10"/>
            <color indexed="81"/>
            <rFont val="Tahoma"/>
            <family val="2"/>
          </rPr>
          <t>JLM:</t>
        </r>
        <r>
          <rPr>
            <sz val="10"/>
            <color indexed="81"/>
            <rFont val="Tahoma"/>
            <family val="2"/>
          </rPr>
          <t xml:space="preserve">
suppressed because no funding data reported
</t>
        </r>
      </text>
    </comment>
    <comment ref="AH218" authorId="1">
      <text>
        <r>
          <rPr>
            <b/>
            <sz val="10"/>
            <color indexed="81"/>
            <rFont val="Tahoma"/>
            <family val="2"/>
          </rPr>
          <t>JLM:</t>
        </r>
        <r>
          <rPr>
            <sz val="10"/>
            <color indexed="81"/>
            <rFont val="Tahoma"/>
            <family val="2"/>
          </rPr>
          <t xml:space="preserve">
suppressed because no funding data reported
</t>
        </r>
      </text>
    </comment>
    <comment ref="AJ218" authorId="1">
      <text>
        <r>
          <rPr>
            <b/>
            <sz val="10"/>
            <color indexed="81"/>
            <rFont val="Tahoma"/>
            <family val="2"/>
          </rPr>
          <t>JLM:</t>
        </r>
        <r>
          <rPr>
            <sz val="10"/>
            <color indexed="81"/>
            <rFont val="Tahoma"/>
            <family val="2"/>
          </rPr>
          <t xml:space="preserve">
suppressed because no funding data reported
</t>
        </r>
      </text>
    </comment>
    <comment ref="AR218" authorId="1">
      <text>
        <r>
          <rPr>
            <b/>
            <sz val="10"/>
            <color indexed="81"/>
            <rFont val="Tahoma"/>
            <family val="2"/>
          </rPr>
          <t>JLM:</t>
        </r>
        <r>
          <rPr>
            <sz val="10"/>
            <color indexed="81"/>
            <rFont val="Tahoma"/>
            <family val="2"/>
          </rPr>
          <t xml:space="preserve">
suppressed because no funding data reported
</t>
        </r>
      </text>
    </comment>
    <comment ref="AS218" authorId="1">
      <text>
        <r>
          <rPr>
            <b/>
            <sz val="10"/>
            <color indexed="81"/>
            <rFont val="Tahoma"/>
            <family val="2"/>
          </rPr>
          <t>JLM:</t>
        </r>
        <r>
          <rPr>
            <sz val="10"/>
            <color indexed="81"/>
            <rFont val="Tahoma"/>
            <family val="2"/>
          </rPr>
          <t xml:space="preserve">
suppressed because no funding data reported
</t>
        </r>
      </text>
    </comment>
    <comment ref="AT218" authorId="1">
      <text>
        <r>
          <rPr>
            <b/>
            <sz val="10"/>
            <color indexed="81"/>
            <rFont val="Tahoma"/>
            <family val="2"/>
          </rPr>
          <t>JLM:</t>
        </r>
        <r>
          <rPr>
            <sz val="10"/>
            <color indexed="81"/>
            <rFont val="Tahoma"/>
            <family val="2"/>
          </rPr>
          <t xml:space="preserve">
suppressed because no funding data reported
</t>
        </r>
      </text>
    </comment>
    <comment ref="AU218" authorId="1">
      <text>
        <r>
          <rPr>
            <b/>
            <sz val="10"/>
            <color indexed="81"/>
            <rFont val="Tahoma"/>
            <family val="2"/>
          </rPr>
          <t>JLM:</t>
        </r>
        <r>
          <rPr>
            <sz val="10"/>
            <color indexed="81"/>
            <rFont val="Tahoma"/>
            <family val="2"/>
          </rPr>
          <t xml:space="preserve">
suppressed because no funding data reported
</t>
        </r>
      </text>
    </comment>
  </commentList>
</comments>
</file>

<file path=xl/comments3.xml><?xml version="1.0" encoding="utf-8"?>
<comments xmlns="http://schemas.openxmlformats.org/spreadsheetml/2006/main">
  <authors>
    <author>jmarks</author>
  </authors>
  <commentList>
    <comment ref="V125" authorId="0">
      <text>
        <r>
          <rPr>
            <b/>
            <sz val="10"/>
            <color indexed="81"/>
            <rFont val="Tahoma"/>
            <family val="2"/>
          </rPr>
          <t>jmarks:</t>
        </r>
        <r>
          <rPr>
            <sz val="10"/>
            <color indexed="81"/>
            <rFont val="Tahoma"/>
            <family val="2"/>
          </rPr>
          <t xml:space="preserve">
This calculation disqualifies the regional average when the same number of states don't report in both years.
</t>
        </r>
      </text>
    </comment>
  </commentList>
</comments>
</file>

<file path=xl/connections.xml><?xml version="1.0" encoding="utf-8"?>
<connections xmlns="http://schemas.openxmlformats.org/spreadsheetml/2006/main">
  <connection id="1" name="Dual07" type="6" refreshedVersion="3" deleted="1" background="1" saveData="1">
    <textPr codePage="437" sourceFile="\\CBNA42\UserDoc$\meaddd\My Documents\My SAS Files\SREB\QWK03256\Dual07.txt">
      <textFields>
        <textField/>
      </textFields>
    </textPr>
  </connection>
  <connection id="2" name="Dual08" type="6" refreshedVersion="3" deleted="1" background="1" saveData="1">
    <textPr codePage="437" sourceFile="\\CBNA42\UserDoc$\meaddd\My Documents\My SAS Files\SREB\QWK03256\Dual08.txt">
      <textFields>
        <textField/>
      </textFields>
    </textPr>
  </connection>
  <connection id="3" name="JrCH08ug1" type="6" refreshedVersion="3" deleted="1" background="1" saveData="1">
    <textPr codePage="437" sourceFile="\\CBNA42\UserDoc$\meaddd\My Documents\My SAS Files\SREB\QWK03256\JrCH08ug1.txt">
      <textFields>
        <textField/>
      </textFields>
    </textPr>
  </connection>
  <connection id="4" name="JrCH08ug2" type="6" refreshedVersion="3" deleted="1" background="1" saveData="1">
    <textPr codePage="437" sourceFile="\\CBNA42\UserDoc$\meaddd\My Documents\My SAS Files\SREB\QWK03256\JrCH08ug2.txt">
      <textFields>
        <textField/>
      </textFields>
    </textPr>
  </connection>
  <connection id="5" name="JrCH08ug3" type="6" refreshedVersion="3" deleted="1" background="1" saveData="1">
    <textPr codePage="437" sourceFile="\\CBNA42\UserDoc$\meaddd\My Documents\My SAS Files\SREB\QWK03256\JrCH08ug3.txt">
      <textFields>
        <textField/>
      </textFields>
    </textPr>
  </connection>
  <connection id="6" name="JrCH08ug4" type="6" refreshedVersion="3" deleted="1" background="1" saveData="1">
    <textPr codePage="437" sourceFile="\\CBNA42\UserDoc$\meaddd\My Documents\My SAS Files\SREB\QWK03256\JrCH08ug4.txt">
      <textFields>
        <textField/>
      </textFields>
    </textPr>
  </connection>
  <connection id="7" name="JrSCH08ug1" type="6" refreshedVersion="3" deleted="1" background="1" saveData="1">
    <textPr codePage="437" sourceFile="\\CBNA42\UserDoc$\meaddd\My Documents\My SAS Files\SREB\QWK03256\JrSCH08ug1.txt">
      <textFields>
        <textField/>
      </textFields>
    </textPr>
  </connection>
  <connection id="8" name="JrSCH08ug2" type="6" refreshedVersion="3" deleted="1" background="1" saveData="1">
    <textPr codePage="437" sourceFile="\\CBNA42\UserDoc$\meaddd\My Documents\My SAS Files\SREB\QWK03256\JrSCH08ug2.txt">
      <textFields>
        <textField/>
      </textFields>
    </textPr>
  </connection>
  <connection id="9" name="JrSCH08ug3" type="6" refreshedVersion="3" deleted="1" background="1" saveData="1">
    <textPr codePage="437" sourceFile="\\CBNA42\UserDoc$\meaddd\My Documents\My SAS Files\SREB\QWK03256\JrSCH08ug3.txt">
      <textFields>
        <textField/>
      </textFields>
    </textPr>
  </connection>
  <connection id="10" name="JrSCH08ug4" type="6" refreshedVersion="3" deleted="1" background="1" saveData="1">
    <textPr codePage="437" sourceFile="\\CBNA42\UserDoc$\meaddd\My Documents\My SAS Files\SREB\QWK03256\JrSCH08ug4.txt">
      <textFields>
        <textField/>
      </textFields>
    </textPr>
  </connection>
  <connection id="11" name="SrSCH08gr2" type="6" refreshedVersion="3" deleted="1" background="1" saveData="1">
    <textPr codePage="437" sourceFile="\\CBNA42\UserDoc$\meaddd\My Documents\My SAS Files\SREB\QWK03256\SrSCH08gr2.txt">
      <textFields>
        <textField/>
      </textFields>
    </textPr>
  </connection>
  <connection id="12" name="SrSCH08gr3" type="6" refreshedVersion="3" deleted="1" background="1" saveData="1">
    <textPr codePage="437" sourceFile="\\CBNA42\UserDoc$\meaddd\My Documents\My SAS Files\SREB\QWK03256\SrSCH08gr3.txt">
      <textFields>
        <textField/>
      </textFields>
    </textPr>
  </connection>
  <connection id="13" name="SrSCH08gr4" type="6" refreshedVersion="3" deleted="1" background="1" saveData="1">
    <textPr codePage="437" sourceFile="\\CBNA42\UserDoc$\meaddd\My Documents\My SAS Files\SREB\QWK03256\SrSCH08gr4.txt">
      <textFields>
        <textField/>
      </textFields>
    </textPr>
  </connection>
  <connection id="14" name="SrSCH08ug2" type="6" refreshedVersion="3" deleted="1" background="1" saveData="1">
    <textPr codePage="437" sourceFile="\\CBNA42\UserDoc$\meaddd\My Documents\My SAS Files\SREB\QWK03256\SrSCH08ug2.txt">
      <textFields>
        <textField/>
      </textFields>
    </textPr>
  </connection>
  <connection id="15" name="SrSCH08ug3" type="6" refreshedVersion="3" deleted="1" background="1" saveData="1">
    <textPr codePage="437" sourceFile="\\CBNA42\UserDoc$\meaddd\My Documents\My SAS Files\SREB\QWK03256\SrSCH08ug3.txt">
      <textFields>
        <textField/>
      </textFields>
    </textPr>
  </connection>
  <connection id="16" name="SrSCH08ug4" type="6" refreshedVersion="3" deleted="1" background="1" saveData="1">
    <textPr codePage="437" sourceFile="\\CBNA42\UserDoc$\meaddd\My Documents\My SAS Files\SREB\QWK03256\SrSCH08ug4.txt">
      <textFields>
        <textField/>
      </textFields>
    </textPr>
  </connection>
</connections>
</file>

<file path=xl/sharedStrings.xml><?xml version="1.0" encoding="utf-8"?>
<sst xmlns="http://schemas.openxmlformats.org/spreadsheetml/2006/main" count="4692" uniqueCount="989">
  <si>
    <t>Louisiana Technical College- Alexandria Campus</t>
  </si>
  <si>
    <t>Louisiana Technical College-Acadian Campus</t>
  </si>
  <si>
    <t>Louisiana Technical College-Ascension Campus</t>
  </si>
  <si>
    <t>Louisiana Technical College-Avoyelles Campus</t>
  </si>
  <si>
    <t>Louisiana Technical College-Bastrop Campus</t>
  </si>
  <si>
    <t>Louisiana Technical College-Baton Rouge Campus</t>
  </si>
  <si>
    <t>Louisiana Technical College-Charles B. Coreil Campus</t>
  </si>
  <si>
    <t>Louisiana Technical College-Delta/Ouachita Campus</t>
  </si>
  <si>
    <t>Louisiana Technical College-Evangeline Campus</t>
  </si>
  <si>
    <t>Louisiana Technical College-Florida Parishes Campus</t>
  </si>
  <si>
    <t>Louisiana Technical College-Folkes Campus</t>
  </si>
  <si>
    <t>All Two Year</t>
  </si>
  <si>
    <t>All Technical</t>
  </si>
  <si>
    <t>Louisiana Technical College-Gulf Area Campus</t>
  </si>
  <si>
    <t>Louisiana Technical College-Hammond Area Campus</t>
  </si>
  <si>
    <t>Louisiana Technical College-Huey P. Long Campus</t>
  </si>
  <si>
    <t>Louisiana Technical College-Jefferson Campus</t>
  </si>
  <si>
    <t>Louisiana Technical College-Jumonville Memorial Campus</t>
  </si>
  <si>
    <t>Louisiana Technical College-Lafayette Campus</t>
  </si>
  <si>
    <t>Louisiana Technical College-Lafourche Campus</t>
  </si>
  <si>
    <t>Louisiana Technical College-Lamar Salter Campus</t>
  </si>
  <si>
    <t>Louisiana Technical College-Mansfield Campus</t>
  </si>
  <si>
    <t>Louisiana Technical College-Morgan Smith Campus</t>
  </si>
  <si>
    <t>Louisiana Technical College-Nachitoches Campus</t>
  </si>
  <si>
    <t>Louisiana Technical College-North Central Campus</t>
  </si>
  <si>
    <t>Louisiana Technical College-Northeast Louisiana Campus</t>
  </si>
  <si>
    <t>Louisiana Technical College-Northwest Louisiana Campus</t>
  </si>
  <si>
    <t>Louisiana Technical College-Oakdale Campus</t>
  </si>
  <si>
    <t>Louisiana Technical College-River Parishes Campus</t>
  </si>
  <si>
    <t>Louisiana Technical College-Ruston Campus</t>
  </si>
  <si>
    <t>Louisiana Technical College-Sabine Valley Campus</t>
  </si>
  <si>
    <t>Old Percent by H.S. Students</t>
  </si>
  <si>
    <t>All Four Year</t>
  </si>
  <si>
    <t>Points change</t>
  </si>
  <si>
    <t>Louisiana Technical College-Shelby M. Jackson Campus</t>
  </si>
  <si>
    <t>Louisiana Technical College-Shreveport/Bossier Campus</t>
  </si>
  <si>
    <t>Louisiana Technical College-Sidney N. Collier Campus</t>
  </si>
  <si>
    <t>Louisiana Technical College-Slidell Campus</t>
  </si>
  <si>
    <t>Louisiana Technical College-Sullivan Campus</t>
  </si>
  <si>
    <t>Louisiana Technical College-T.H. Harris Campus</t>
  </si>
  <si>
    <t>Louisiana Technical College-Tallulah Campus</t>
  </si>
  <si>
    <t>Louisiana Technical College-Teche Area Campus</t>
  </si>
  <si>
    <t>Louisiana Technical College-West Jefferson Campus</t>
  </si>
  <si>
    <t>Louisiana Technical College-Westside Campus</t>
  </si>
  <si>
    <t>For special section to be used with funding data.</t>
  </si>
  <si>
    <t>"8" minus "8b"</t>
  </si>
  <si>
    <t>"9" minus "9b"</t>
  </si>
  <si>
    <t>10 minus 10b</t>
  </si>
  <si>
    <t>#Change from prior year</t>
  </si>
  <si>
    <t>Louisiana Technical College-Young Memorial Campus</t>
  </si>
  <si>
    <t>Louisiana Technical College-all campuses</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</si>
  <si>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</si>
  <si>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</si>
  <si>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</si>
  <si>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</si>
  <si>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</si>
  <si>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</si>
  <si>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</si>
  <si>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</si>
  <si>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</si>
  <si>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</si>
  <si>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</si>
  <si>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</si>
  <si>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</si>
  <si>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</si>
  <si>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 xml:space="preserve">Southwest Mississippi Community College  </t>
  </si>
  <si>
    <t>DE</t>
  </si>
  <si>
    <t>Grand Total FTE - Old</t>
  </si>
  <si>
    <t>Total Grand Total FTE - Old</t>
  </si>
  <si>
    <t>Public Four-Year Institutions, 2008-09</t>
  </si>
  <si>
    <t>University of Delaware</t>
  </si>
  <si>
    <t>Delaware State University</t>
  </si>
  <si>
    <t>Delaware Technical and Community College--Owens</t>
  </si>
  <si>
    <t>Delaware Technical and Community College--Stanton-Wilmington</t>
  </si>
  <si>
    <t>Delaware Technical and Community College--Terry</t>
  </si>
  <si>
    <t>West Liberty University</t>
  </si>
  <si>
    <t xml:space="preserve">Edison State College </t>
  </si>
  <si>
    <t>Sum of Old-Total UGH</t>
  </si>
  <si>
    <t>Sum of New-Total UGH</t>
  </si>
  <si>
    <t>Total Sum of Old-Total UGH</t>
  </si>
  <si>
    <t>Total Sum of New-Total UGH</t>
  </si>
  <si>
    <t>Sum of Old-Total HSH</t>
  </si>
  <si>
    <t>Sum of New-Total HSH</t>
  </si>
  <si>
    <t>Sum of Old-HS % of Total</t>
  </si>
  <si>
    <t>9b Total</t>
  </si>
  <si>
    <t>10b Total</t>
  </si>
  <si>
    <t>11b Total</t>
  </si>
  <si>
    <t>8b Total</t>
  </si>
  <si>
    <t>Sum of New-HS % of Total</t>
  </si>
  <si>
    <t>Total Sum of Old-Total HSH</t>
  </si>
  <si>
    <t>Total Sum of New-Total HSH</t>
  </si>
  <si>
    <t>Total Sum of Old-HS % of Total</t>
  </si>
  <si>
    <t>Total Sum of New-HS % of Total</t>
  </si>
  <si>
    <t>Percent by Students Still in High School</t>
  </si>
  <si>
    <t>December 2009</t>
  </si>
  <si>
    <t>Four-Year Total</t>
  </si>
  <si>
    <t>Two-Year Total</t>
  </si>
  <si>
    <t>Technical Total</t>
  </si>
  <si>
    <t>15 Total</t>
  </si>
  <si>
    <t>Northwest Florida State College</t>
  </si>
  <si>
    <t>North Carolina A&amp;T State University</t>
  </si>
  <si>
    <t>Public Two-Year Colleges and Technical Institutes or Colleges, 2008-09</t>
  </si>
  <si>
    <t>2008-09</t>
  </si>
  <si>
    <t xml:space="preserve"> and Technical Institutes or Colleges, 2008-09</t>
  </si>
  <si>
    <t>Notes: Full-year full-time-equivalent (FTE) undergraduate enrollment for 2008-09 is estimated by taking the credit hours from calendar year 2008 (i.e. winter, spring, summer and fall terms of 2008) and by dividing total undergraduate semester credit hours by 30 and total undergraduate quarter hours by 45.</t>
  </si>
  <si>
    <t xml:space="preserve">Notes:  Full-year full-time-equivalent (FTE) undergraduate enrollment for 2008-09 is estimated by taking the credit hours from calendar year 2008 (i.e. winter, spring, summer and fall terms of 2008) and by dividing total undergraduate semester credit hours by 30; total undergraduate quarter hours by 45; total undergraduate contact hours by 900 (the equivalent of a 30 hour week); total graduate semester credit hours by 24; and total graduate quarter hours by 36. </t>
  </si>
  <si>
    <t>University of South Carolina-Sumter</t>
  </si>
  <si>
    <t>University of South Carolina-Union</t>
  </si>
  <si>
    <t xml:space="preserve">Willamsburg Technical College </t>
  </si>
  <si>
    <t>AL</t>
  </si>
  <si>
    <t xml:space="preserve">Auburn University  </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</si>
  <si>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</si>
  <si>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</si>
  <si>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</si>
  <si>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</si>
  <si>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</si>
  <si>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</si>
  <si>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</si>
  <si>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</si>
  <si>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</si>
  <si>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</si>
  <si>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</si>
  <si>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</si>
  <si>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</si>
  <si>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</si>
  <si>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</si>
  <si>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</si>
  <si>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</si>
  <si>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</si>
  <si>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</si>
  <si>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</si>
  <si>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</si>
  <si>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</si>
  <si>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</si>
  <si>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</si>
  <si>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</si>
  <si>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</si>
  <si>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</si>
  <si>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</si>
  <si>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Enterprise-Ozark Community College</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</si>
  <si>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</si>
  <si>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</si>
  <si>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</si>
  <si>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</si>
  <si>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</si>
  <si>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</si>
  <si>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</si>
  <si>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</si>
  <si>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</si>
  <si>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 xml:space="preserve">Brevard Community College </t>
  </si>
  <si>
    <t xml:space="preserve">Broward Community College </t>
  </si>
  <si>
    <t xml:space="preserve">Central Florida Community College </t>
  </si>
  <si>
    <t xml:space="preserve">Chipola College </t>
  </si>
  <si>
    <t xml:space="preserve">Daytona Beach Community College </t>
  </si>
  <si>
    <t>Florida Community College at Jacksonville</t>
  </si>
  <si>
    <t xml:space="preserve">Florida Keys Community College </t>
  </si>
  <si>
    <t xml:space="preserve">Gulf Coast Community College </t>
  </si>
  <si>
    <t xml:space="preserve">Hillsborough Community College </t>
  </si>
  <si>
    <t xml:space="preserve">Indian River Community College </t>
  </si>
  <si>
    <t xml:space="preserve">Lake City Community College </t>
  </si>
  <si>
    <t xml:space="preserve">Lake-Sumter Community College </t>
  </si>
  <si>
    <t xml:space="preserve">Manatee Community College </t>
  </si>
  <si>
    <t xml:space="preserve">Miami Dade College </t>
  </si>
  <si>
    <t xml:space="preserve">North Florida Community College </t>
  </si>
  <si>
    <t xml:space="preserve">Palm Beach Community College </t>
  </si>
  <si>
    <t xml:space="preserve">Pasco-Hernando Community College </t>
  </si>
  <si>
    <t xml:space="preserve">Pensacola Junior College </t>
  </si>
  <si>
    <t xml:space="preserve">Polk Community College </t>
  </si>
  <si>
    <t xml:space="preserve">St. Johns River Community College </t>
  </si>
  <si>
    <t xml:space="preserve">St. Petersburg College </t>
  </si>
  <si>
    <t xml:space="preserve">Santa Fe Community College </t>
  </si>
  <si>
    <t xml:space="preserve">Seminole Community College </t>
  </si>
  <si>
    <t xml:space="preserve">South Florida Community College </t>
  </si>
  <si>
    <t xml:space="preserve">Tallahassee Community College </t>
  </si>
  <si>
    <t xml:space="preserve">Valencia Community College </t>
  </si>
  <si>
    <t>KY</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</si>
  <si>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</si>
  <si>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</si>
  <si>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</si>
  <si>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</si>
  <si>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</si>
  <si>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</si>
  <si>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</si>
  <si>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</si>
  <si>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</si>
  <si>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</si>
  <si>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</si>
  <si>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</si>
  <si>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</si>
  <si>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</si>
  <si>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Madisonville Community College</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</si>
  <si>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</si>
  <si>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</si>
  <si>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</si>
  <si>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</si>
  <si>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</si>
  <si>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 xml:space="preserve">Hopkinsville Community College </t>
  </si>
  <si>
    <t xml:space="preserve">Maysville Community and Technical College </t>
  </si>
  <si>
    <t>Gateway Community and Technical College</t>
  </si>
  <si>
    <t>Bowling Green Technical College</t>
  </si>
  <si>
    <t>MD</t>
  </si>
  <si>
    <t>University of Maryland College Park</t>
  </si>
  <si>
    <t>University of Maryland, Baltimore County</t>
  </si>
  <si>
    <t xml:space="preserve">Towson University </t>
  </si>
  <si>
    <t xml:space="preserve">Bowie State University </t>
  </si>
  <si>
    <t xml:space="preserve">Frostburg State University </t>
  </si>
  <si>
    <t>Morgan State University</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</si>
  <si>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</si>
  <si>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</si>
  <si>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</si>
  <si>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</si>
  <si>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</si>
  <si>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</si>
  <si>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Community College of Baltimore County (all campuses)</t>
  </si>
  <si>
    <t xml:space="preserve">Prince George's Community College </t>
  </si>
  <si>
    <t>Baltimore City Community College</t>
  </si>
  <si>
    <t>College of Southern Maryland</t>
  </si>
  <si>
    <t xml:space="preserve">Frederick Community College </t>
  </si>
  <si>
    <t xml:space="preserve">Harford Community College </t>
  </si>
  <si>
    <t xml:space="preserve">Howard Community College </t>
  </si>
  <si>
    <t>Allegany College of Maryland</t>
  </si>
  <si>
    <t>Carroll Community College</t>
  </si>
  <si>
    <t xml:space="preserve">Cecil Community College </t>
  </si>
  <si>
    <t xml:space="preserve">Chesapeake College </t>
  </si>
  <si>
    <t xml:space="preserve">Garrett College </t>
  </si>
  <si>
    <t xml:space="preserve">Hagerstown Community College </t>
  </si>
  <si>
    <t xml:space="preserve">Wor-Wic Community College </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</si>
  <si>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</si>
  <si>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</si>
  <si>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</si>
  <si>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</si>
  <si>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</si>
  <si>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</si>
  <si>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</si>
  <si>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</si>
  <si>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</si>
  <si>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</si>
  <si>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</si>
  <si>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University of Science and Arts of Oklahoma</t>
  </si>
  <si>
    <t>Rogers State University</t>
  </si>
  <si>
    <t xml:space="preserve">Oklahoma City Community College </t>
  </si>
  <si>
    <t xml:space="preserve">Tulsa Community College </t>
  </si>
  <si>
    <t xml:space="preserve">Northern Oklahoma College </t>
  </si>
  <si>
    <t xml:space="preserve">Oklahoma State University Technical Branch-Okmulgee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</si>
  <si>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</si>
  <si>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</si>
  <si>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</si>
  <si>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</si>
  <si>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</si>
  <si>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</si>
  <si>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</si>
  <si>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</si>
  <si>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</si>
  <si>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</si>
  <si>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TN</t>
  </si>
  <si>
    <t>University of Tennessee, Knoxville</t>
  </si>
  <si>
    <t>University of Memphis</t>
  </si>
  <si>
    <t xml:space="preserve">East Tennessee State University </t>
  </si>
  <si>
    <t xml:space="preserve">Middle Tennessee State University </t>
  </si>
  <si>
    <t xml:space="preserve">Tennessee State University </t>
  </si>
  <si>
    <t>University of Tennessee at Chattanooga</t>
  </si>
  <si>
    <t xml:space="preserve">Austin Peay State University </t>
  </si>
  <si>
    <t xml:space="preserve">Tennessee Technological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</si>
  <si>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</si>
  <si>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</si>
  <si>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</si>
  <si>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</si>
  <si>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</si>
  <si>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</si>
  <si>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</si>
  <si>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</si>
  <si>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</si>
  <si>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</si>
  <si>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</si>
  <si>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</si>
  <si>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</si>
  <si>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</si>
  <si>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</si>
  <si>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</si>
  <si>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</si>
  <si>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</si>
  <si>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</si>
  <si>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</si>
  <si>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</si>
  <si>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</si>
  <si>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</si>
  <si>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</si>
  <si>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University of Arkansas at Fort Smith</t>
  </si>
  <si>
    <t>Texas A&amp;M International University</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</si>
  <si>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</si>
  <si>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</si>
  <si>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</si>
  <si>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</si>
  <si>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</si>
  <si>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</si>
  <si>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</si>
  <si>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</si>
  <si>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</si>
  <si>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</si>
  <si>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</si>
  <si>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</si>
  <si>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</si>
  <si>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</si>
  <si>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</si>
  <si>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</si>
  <si>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</si>
  <si>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TX</t>
  </si>
  <si>
    <t xml:space="preserve">Texas A &amp; M University </t>
  </si>
  <si>
    <t xml:space="preserve">Texas Tech University </t>
  </si>
  <si>
    <t>University of Houston</t>
  </si>
  <si>
    <t>University of North Texas</t>
  </si>
  <si>
    <t>University of Texas at Austin</t>
  </si>
  <si>
    <t>Texas Woman's University</t>
  </si>
  <si>
    <t>University of Texas at Arlington</t>
  </si>
  <si>
    <t>University of Texas at Dallas</t>
  </si>
  <si>
    <t>Angelo State University</t>
  </si>
  <si>
    <t>Lamar University</t>
  </si>
  <si>
    <t xml:space="preserve">Midwestern State University  </t>
  </si>
  <si>
    <t>Prairie View A &amp; M University</t>
  </si>
  <si>
    <t xml:space="preserve">Sam Houston State University </t>
  </si>
  <si>
    <t>Stephen F. Austin State University</t>
  </si>
  <si>
    <t xml:space="preserve">Sul Ross State University </t>
  </si>
  <si>
    <t xml:space="preserve">Tarleton State University  </t>
  </si>
  <si>
    <t>Texas A &amp; M University-Commerce</t>
  </si>
  <si>
    <t xml:space="preserve">Texas A &amp; M University-Corpus Christi </t>
  </si>
  <si>
    <t>Texas A &amp; M University-Kingsville</t>
  </si>
  <si>
    <t xml:space="preserve">Texas Southern University </t>
  </si>
  <si>
    <t xml:space="preserve">Texas State University - San Marcos </t>
  </si>
  <si>
    <t xml:space="preserve">University of Houston-Clear Lake </t>
  </si>
  <si>
    <t>University of Texas at El Paso</t>
  </si>
  <si>
    <t>University of Texas at San Antonio</t>
  </si>
  <si>
    <t>University of Texas at Tyler</t>
  </si>
  <si>
    <t>University of Texas-Pan American</t>
  </si>
  <si>
    <t>West Texas A &amp; M University</t>
  </si>
  <si>
    <t>Texas A &amp; M -Texarkana</t>
  </si>
  <si>
    <t>University of Texas at Brownsville</t>
  </si>
  <si>
    <t>University of Texas of the Permian Basin</t>
  </si>
  <si>
    <t>Sul Ross State University-Rio Grande College</t>
  </si>
  <si>
    <t>228501B</t>
  </si>
  <si>
    <t>University of Houston-Downtown</t>
  </si>
  <si>
    <t>University of Houston-Victoria</t>
  </si>
  <si>
    <t>Texas A &amp; M University at Galveston</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</si>
  <si>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</si>
  <si>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</si>
  <si>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</si>
  <si>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</si>
  <si>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</si>
  <si>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</si>
  <si>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</si>
  <si>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</si>
  <si>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</si>
  <si>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</si>
  <si>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</si>
  <si>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 xml:space="preserve">McLennan Community College </t>
  </si>
  <si>
    <t>North Harris Montgomery Community College District</t>
  </si>
  <si>
    <t>North Lake College  (DCCCD)</t>
  </si>
  <si>
    <t>Northwest Vista College (ACCD)</t>
  </si>
  <si>
    <t>Palo Alto College  (ACCD)</t>
  </si>
  <si>
    <t>Richland College  (DCCCD)</t>
  </si>
  <si>
    <t>San Antonio College (ACCD)</t>
  </si>
  <si>
    <t>San Jacinto College</t>
  </si>
  <si>
    <t xml:space="preserve">South Plains College </t>
  </si>
  <si>
    <t>South Texas College</t>
  </si>
  <si>
    <t>St. Philip's College  (ACCD)</t>
  </si>
  <si>
    <t>Tarrant County College</t>
  </si>
  <si>
    <t xml:space="preserve">Texas Southmost College </t>
  </si>
  <si>
    <t xml:space="preserve">Tyler Junior College </t>
  </si>
  <si>
    <t xml:space="preserve">Alvin Community College </t>
  </si>
  <si>
    <t xml:space="preserve">Angelina College </t>
  </si>
  <si>
    <t xml:space="preserve">Brazosport College </t>
  </si>
  <si>
    <t>Cedar Valley College  (DCCCD)</t>
  </si>
  <si>
    <t>Cisco Junior College</t>
  </si>
  <si>
    <t>Coastal Bend College</t>
  </si>
  <si>
    <t>College of the Mainland</t>
  </si>
  <si>
    <t>El Centro College  (DCCCD)</t>
  </si>
  <si>
    <t xml:space="preserve">Grayson County College </t>
  </si>
  <si>
    <t>Hill College</t>
  </si>
  <si>
    <t>Howard College (HCJCD)</t>
  </si>
  <si>
    <t xml:space="preserve">Kilgore College </t>
  </si>
  <si>
    <t>Lamar Institute of Technology</t>
  </si>
  <si>
    <t>Lamar State College-Port Arthur</t>
  </si>
  <si>
    <t xml:space="preserve">Lee College </t>
  </si>
  <si>
    <t xml:space="preserve">Midland College </t>
  </si>
  <si>
    <t>Mountain View College  (DCCCD)</t>
  </si>
  <si>
    <t xml:space="preserve">Navarro College </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</si>
  <si>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</si>
  <si>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</si>
  <si>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</si>
  <si>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</si>
  <si>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</si>
  <si>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</si>
  <si>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</si>
  <si>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</si>
  <si>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</si>
  <si>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</si>
  <si>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</si>
  <si>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</si>
  <si>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</si>
  <si>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</si>
  <si>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</si>
  <si>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</si>
  <si>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</si>
  <si>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</si>
  <si>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</si>
  <si>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</si>
  <si>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</si>
  <si>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</si>
  <si>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</si>
  <si>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</si>
  <si>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</si>
  <si>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8b</t>
  </si>
  <si>
    <t>Dallas County Community College District (DCCD)</t>
  </si>
  <si>
    <t>9b</t>
  </si>
  <si>
    <t>Howard County Community/Junior College District (HCJCD)</t>
  </si>
  <si>
    <t>Northeast Lakeview College (ACCD)</t>
  </si>
  <si>
    <t>Technical</t>
  </si>
  <si>
    <t>12</t>
  </si>
  <si>
    <t>13</t>
  </si>
  <si>
    <t>Grand
Total FTE</t>
  </si>
  <si>
    <t>Georgia Gwinnett College</t>
  </si>
  <si>
    <t>Size Unknown</t>
  </si>
  <si>
    <t xml:space="preserve"> </t>
  </si>
  <si>
    <t>Table 45</t>
  </si>
  <si>
    <t>Table 46</t>
  </si>
  <si>
    <t>Public Four-Year Universities, Two-Year Colleges</t>
  </si>
  <si>
    <t>All</t>
  </si>
  <si>
    <t>Table 47</t>
  </si>
  <si>
    <t>Table 48</t>
  </si>
  <si>
    <t>Table 49</t>
  </si>
  <si>
    <t>Table 50</t>
  </si>
  <si>
    <t>TOTAL</t>
  </si>
  <si>
    <t>Full-Year Full-Time-Equivalent Undergraduate Enrollment</t>
  </si>
  <si>
    <t>Full-Year Full-Time-Equivalent Graduate Enrollment</t>
  </si>
  <si>
    <t>Full-Year Full-Time-Equivalent Credit-Hour Enrollment</t>
  </si>
  <si>
    <t>Full-Year Full-Time-Equivalent Contact-Hour Enrollment</t>
  </si>
  <si>
    <t>Total Full-Year Full-Time-Equivalent Enrollment</t>
  </si>
  <si>
    <t>Extra sub-totals to use with funding data.</t>
  </si>
  <si>
    <t>Public Two-Year Colleges and Technical Institutes or Colleges, 2006-07</t>
  </si>
  <si>
    <t>OLD</t>
  </si>
  <si>
    <t>formulas for OK Tech C line when $ data available</t>
  </si>
  <si>
    <t>Totals for Per FTE Funding Calculation</t>
  </si>
  <si>
    <t>Prior year for Highlights report</t>
  </si>
  <si>
    <t>sem</t>
  </si>
  <si>
    <t>Category2</t>
  </si>
  <si>
    <t>or</t>
  </si>
  <si>
    <t>=+G177</t>
  </si>
  <si>
    <t>=+H177</t>
  </si>
  <si>
    <t>=+J177</t>
  </si>
  <si>
    <t>=+Tables!AC115+Tables!AC146</t>
  </si>
  <si>
    <t>=+Tables!AD115+Tables!AD146</t>
  </si>
  <si>
    <t>=+Tables!AF115+Tables!AF146</t>
  </si>
  <si>
    <t>Old-Total Undg CH</t>
  </si>
  <si>
    <t>Old-Total Undg CH FTE</t>
  </si>
  <si>
    <t>Technical Institutes or Colleges</t>
  </si>
  <si>
    <t>Old-Term Code</t>
  </si>
  <si>
    <t>New-Term Code</t>
  </si>
  <si>
    <t>Old-Total Undg SCH</t>
  </si>
  <si>
    <t>New-Total Undg SCH</t>
  </si>
  <si>
    <t>New-Total Undg CH</t>
  </si>
  <si>
    <t>Old-Total Grad SCH</t>
  </si>
  <si>
    <t>New-Total Grad SCH</t>
  </si>
  <si>
    <t>Old-Total Grad FTE</t>
  </si>
  <si>
    <t>New-Total Grad FTE</t>
  </si>
  <si>
    <t>Old-Total Undg SCH FTE</t>
  </si>
  <si>
    <t>New-Total Undg SCH FTE</t>
  </si>
  <si>
    <t>New-Total Undg CH FTE</t>
  </si>
  <si>
    <t>Data</t>
  </si>
  <si>
    <t>Grand Total</t>
  </si>
  <si>
    <t>Old Grand Total FTE</t>
  </si>
  <si>
    <t>7</t>
  </si>
  <si>
    <t>8</t>
  </si>
  <si>
    <t>9</t>
  </si>
  <si>
    <t>10</t>
  </si>
  <si>
    <t>New Grand Total FTE</t>
  </si>
  <si>
    <t>Four-Year</t>
  </si>
  <si>
    <t xml:space="preserve"> Two-Year</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</si>
  <si>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</si>
  <si>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</si>
  <si>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</si>
  <si>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</si>
  <si>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</si>
  <si>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</si>
  <si>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</si>
  <si>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</si>
  <si>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</si>
  <si>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</si>
  <si>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</si>
  <si>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</si>
  <si>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</si>
  <si>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</si>
  <si>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</si>
  <si>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</si>
  <si>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Two-Year</t>
  </si>
  <si>
    <t xml:space="preserve"> Undergrad Contact Hour FTE - New</t>
  </si>
  <si>
    <t>Total  Undergrad Contact Hour FTE - New</t>
  </si>
  <si>
    <t xml:space="preserve"> Undergrad Contact Hour FTE - Old</t>
  </si>
  <si>
    <t>Total  Undergrad Contact Hour FTE - Old</t>
  </si>
  <si>
    <t>Undergrad Student Credit Hour FTE - New</t>
  </si>
  <si>
    <t>Total Undergrad Student Credit Hour FTE - New</t>
  </si>
  <si>
    <t>Undergrad Student Credit Hour  FTE - Old</t>
  </si>
  <si>
    <t>Total Undergrad Student Credit Hour  FTE - Old</t>
  </si>
  <si>
    <t>Graduate FTE - Old</t>
  </si>
  <si>
    <t>Total Graduate FTE - Old</t>
  </si>
  <si>
    <t>Graduate FTE - New</t>
  </si>
  <si>
    <t>Total Graduate FTE - New</t>
  </si>
  <si>
    <t xml:space="preserve"> % Change Graduate  FTE</t>
  </si>
  <si>
    <t>Total  % Change Graduate  FTE</t>
  </si>
  <si>
    <t>Grand Total FTE - New</t>
  </si>
  <si>
    <t>Total Grand Total FTE - New</t>
  </si>
  <si>
    <t xml:space="preserve"> % Change Grand Total FTE</t>
  </si>
  <si>
    <t>Total  % Change Grand Total FTE</t>
  </si>
  <si>
    <t xml:space="preserve"> % Change Undergrad SCH FTE</t>
  </si>
  <si>
    <t>Total  % Change Undergrad SCH FTE</t>
  </si>
  <si>
    <t xml:space="preserve"> % Change Undergrad CH FTE</t>
  </si>
  <si>
    <t>Total  % Change Undergrad CH FTE</t>
  </si>
  <si>
    <t>Delaware</t>
  </si>
  <si>
    <t>Institution</t>
  </si>
  <si>
    <t>ID #</t>
  </si>
  <si>
    <t>Category</t>
  </si>
  <si>
    <t>State</t>
  </si>
  <si>
    <t>IPEDS ID #</t>
  </si>
  <si>
    <t>Undergraduate Credit Hours</t>
  </si>
  <si>
    <t>Undergraduate Contact Hours</t>
  </si>
  <si>
    <t>Table 44</t>
  </si>
  <si>
    <t>Graduate Credit Hours</t>
  </si>
  <si>
    <t>Semester</t>
  </si>
  <si>
    <t>Calculated</t>
  </si>
  <si>
    <t>IPEDS</t>
  </si>
  <si>
    <t>Winter</t>
  </si>
  <si>
    <t>Spring</t>
  </si>
  <si>
    <t>Summer</t>
  </si>
  <si>
    <t>Fall</t>
  </si>
  <si>
    <t>Total hours</t>
  </si>
  <si>
    <t>Quarter</t>
  </si>
  <si>
    <t>old-Winter Undg SCH</t>
  </si>
  <si>
    <t>new-Winter Undg SCH</t>
  </si>
  <si>
    <t>old-Spring Undg SCH</t>
  </si>
  <si>
    <t>new-Spring Undg SCH</t>
  </si>
  <si>
    <t>old-Summer Undg SCH</t>
  </si>
  <si>
    <t>new-Summer Undg SCH</t>
  </si>
  <si>
    <t>old-Fall Undg SCH</t>
  </si>
  <si>
    <t>new-Fall Undg SCH</t>
  </si>
  <si>
    <t>old-Winter Undg CH</t>
  </si>
  <si>
    <t>new-Winter Undg CH</t>
  </si>
  <si>
    <t>old-Spring Undg CH</t>
  </si>
  <si>
    <t>new-Spring Undg CH</t>
  </si>
  <si>
    <t>old-Summer Undg CH</t>
  </si>
  <si>
    <t>new-Summer Undg CH</t>
  </si>
  <si>
    <t>old-Fall Undg CH</t>
  </si>
  <si>
    <t>new-Fall Undg CH</t>
  </si>
  <si>
    <t>old-Winter Grad SCH</t>
  </si>
  <si>
    <t>new-Winter Grad SCH</t>
  </si>
  <si>
    <t>old-Spring Grad SCH</t>
  </si>
  <si>
    <t>new-Spring Grad SCH</t>
  </si>
  <si>
    <t>old-Summer Grad SCH</t>
  </si>
  <si>
    <t>new-Summer Grad SCH</t>
  </si>
  <si>
    <t>old-Fall Grad SCH</t>
  </si>
  <si>
    <t>new-Fall Grad SCH</t>
  </si>
  <si>
    <t>FTE</t>
  </si>
  <si>
    <t>With Bachelor's</t>
  </si>
  <si>
    <t>%Change from prior year</t>
  </si>
  <si>
    <t>GA</t>
  </si>
  <si>
    <t>Albany Technical College</t>
  </si>
  <si>
    <t>quar</t>
  </si>
  <si>
    <t>Altamaha Technical College</t>
  </si>
  <si>
    <t>Athens Technical College</t>
  </si>
  <si>
    <t>Atlanta Technical College</t>
  </si>
  <si>
    <t>Augusta Technical College</t>
  </si>
  <si>
    <t>Central Georgia Technical College</t>
  </si>
  <si>
    <t>Chattahoochee Technical College</t>
  </si>
  <si>
    <t>Columbus Technical College</t>
  </si>
  <si>
    <t>Coosa Valley Technical College</t>
  </si>
  <si>
    <t>DeKalb Technical College</t>
  </si>
  <si>
    <t>East Central Technical College</t>
  </si>
  <si>
    <t>Flint River Technical College</t>
  </si>
  <si>
    <t>Griffin Technical College</t>
  </si>
  <si>
    <t>Gwinnett Technical College</t>
  </si>
  <si>
    <t>Heart of Georgia Technical College</t>
  </si>
  <si>
    <t>Lanier Technical College</t>
  </si>
  <si>
    <t>Middle Georgia Technical College</t>
  </si>
  <si>
    <t>Moultrie Technical College</t>
  </si>
  <si>
    <t>North Georgia Technical College</t>
  </si>
  <si>
    <t>North Metro Technical College</t>
  </si>
  <si>
    <t>Northwestern Technical College</t>
  </si>
  <si>
    <t>Ogeechee Technical College</t>
  </si>
  <si>
    <t>Okefenokee Technical College</t>
  </si>
  <si>
    <t>Savannah Technical College</t>
  </si>
  <si>
    <t>South Georgia Technical College</t>
  </si>
  <si>
    <t>Southeastern Technical College</t>
  </si>
  <si>
    <t>Southwest Georgia Technical College</t>
  </si>
  <si>
    <t>Valdosta Technical College</t>
  </si>
  <si>
    <t>West Central Technical College</t>
  </si>
  <si>
    <t>West Georgia Technical College</t>
  </si>
  <si>
    <t>Appalachian Technical College</t>
  </si>
  <si>
    <t>Sandersville Technical College</t>
  </si>
  <si>
    <t>Swainsboro Technical College</t>
  </si>
  <si>
    <t>NC</t>
  </si>
  <si>
    <t>Asheville-Buncombe Technical Community College</t>
  </si>
  <si>
    <t>Cape Fear Community College</t>
  </si>
  <si>
    <t>Catawba Valley Community College</t>
  </si>
  <si>
    <t>Central Carolina Commuity College</t>
  </si>
  <si>
    <t xml:space="preserve">Central Piedmont Community College </t>
  </si>
  <si>
    <t>Fayetteville Technical Community College</t>
  </si>
  <si>
    <t>Forsyth Technical Community College</t>
  </si>
  <si>
    <t>Guilford Technical Community College</t>
  </si>
  <si>
    <t>Pitt Community College</t>
  </si>
  <si>
    <t>Wake Technical Community College</t>
  </si>
  <si>
    <t>Alamance Community College</t>
  </si>
  <si>
    <t xml:space="preserve">Beaufort County Community College </t>
  </si>
  <si>
    <t>Blue Ridge Community College</t>
  </si>
  <si>
    <t>Caldwell Community College  &amp; Technical Institute</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</si>
  <si>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</si>
  <si>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</si>
  <si>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</si>
  <si>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</si>
  <si>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</si>
  <si>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</si>
  <si>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</si>
  <si>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 xml:space="preserve">Gaston College </t>
  </si>
  <si>
    <t>Haywood Community College</t>
  </si>
  <si>
    <t xml:space="preserve">Isothermal Community College </t>
  </si>
  <si>
    <t>Johnston Community College</t>
  </si>
  <si>
    <t xml:space="preserve">Lenoir Community College </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</si>
  <si>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</si>
  <si>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</si>
  <si>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</si>
  <si>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</si>
  <si>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</si>
  <si>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</si>
  <si>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</si>
  <si>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Rowan-Cabarrus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</si>
  <si>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</si>
  <si>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</si>
  <si>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</si>
  <si>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</si>
  <si>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</si>
  <si>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</si>
  <si>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</si>
  <si>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</si>
  <si>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</si>
  <si>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</si>
  <si>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</si>
  <si>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Bladen Community College</t>
  </si>
  <si>
    <t>Brunswick Community College</t>
  </si>
  <si>
    <t>Carteret Community College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</si>
  <si>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</si>
  <si>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</si>
  <si>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</si>
  <si>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</si>
  <si>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</si>
  <si>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</si>
  <si>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</si>
  <si>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Roanoke-Chowan Community College</t>
  </si>
  <si>
    <t>Sampson Community College</t>
  </si>
  <si>
    <t xml:space="preserve">Tri-County Community College </t>
  </si>
  <si>
    <t xml:space="preserve">North Carolina State University </t>
  </si>
  <si>
    <t xml:space="preserve">University of North Carolina at Chapel Hill </t>
  </si>
  <si>
    <t>University of North Carolina at Greensboro</t>
  </si>
  <si>
    <t xml:space="preserve">Appalachian State University </t>
  </si>
  <si>
    <t xml:space="preserve">East Carolina University </t>
  </si>
  <si>
    <t xml:space="preserve">North Carolina Central University </t>
  </si>
  <si>
    <t>University of North Carolina at Charlotte</t>
  </si>
  <si>
    <t>University of North Carolina at Wilmington</t>
  </si>
  <si>
    <t xml:space="preserve">Western Carolina University </t>
  </si>
  <si>
    <t xml:space="preserve">Fayetteville State University </t>
  </si>
  <si>
    <t>University of North Carolina at Pembroke</t>
  </si>
  <si>
    <t xml:space="preserve">Elizabeth City State University </t>
  </si>
  <si>
    <t>University of North Carolina at Asheville</t>
  </si>
  <si>
    <t xml:space="preserve">Winston-Salem State University </t>
  </si>
  <si>
    <t>11b</t>
  </si>
  <si>
    <t>Total</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</si>
  <si>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</si>
  <si>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</si>
  <si>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</si>
  <si>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</si>
  <si>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</si>
  <si>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</si>
  <si>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</si>
  <si>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</si>
  <si>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</si>
  <si>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</si>
  <si>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</si>
  <si>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</si>
  <si>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</si>
  <si>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</si>
  <si>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NEW</t>
  </si>
  <si>
    <t>North Georgia College and State University</t>
  </si>
  <si>
    <t>Savannah State University</t>
  </si>
  <si>
    <t>Clayton State University</t>
  </si>
  <si>
    <t xml:space="preserve">Dalton State College </t>
  </si>
  <si>
    <t xml:space="preserve">Macon State College </t>
  </si>
  <si>
    <t xml:space="preserve">Georgia Perimeter College </t>
  </si>
  <si>
    <t xml:space="preserve">Abraham Baldwin Agricultural College </t>
  </si>
  <si>
    <t xml:space="preserve">Darton College </t>
  </si>
  <si>
    <t xml:space="preserve">Gainesville State College </t>
  </si>
  <si>
    <t>Georgia Highlands College</t>
  </si>
  <si>
    <t xml:space="preserve">Gordon College </t>
  </si>
  <si>
    <t xml:space="preserve">Middle Georgia College </t>
  </si>
  <si>
    <t>Atlanta Metropolitan College</t>
  </si>
  <si>
    <t xml:space="preserve">Bainbridge College </t>
  </si>
  <si>
    <t>East Georgia College</t>
  </si>
  <si>
    <t xml:space="preserve">South Georgia College </t>
  </si>
  <si>
    <t xml:space="preserve">Waycross College </t>
  </si>
  <si>
    <t>MS</t>
  </si>
  <si>
    <t>University of Southern Mississippi</t>
  </si>
  <si>
    <t xml:space="preserve">Jackson State University </t>
  </si>
  <si>
    <t>Mississippi State University</t>
  </si>
  <si>
    <t>University of Mississippi</t>
  </si>
  <si>
    <t>Alcorn State University</t>
  </si>
  <si>
    <t>Delta State University</t>
  </si>
  <si>
    <t>Mississippi University for Women</t>
  </si>
  <si>
    <t>Mississippi Valley State University</t>
  </si>
  <si>
    <t>FL</t>
  </si>
  <si>
    <t xml:space="preserve">Florida State University </t>
  </si>
  <si>
    <t>University of Florida</t>
  </si>
  <si>
    <t xml:space="preserve">University of South Florida </t>
  </si>
  <si>
    <t xml:space="preserve">Florida Atlantic University </t>
  </si>
  <si>
    <t>Florida International University</t>
  </si>
  <si>
    <t xml:space="preserve">University of Central Florida </t>
  </si>
  <si>
    <t xml:space="preserve">Florida Agricultural &amp; Mechanical University </t>
  </si>
  <si>
    <t>University of North Florida</t>
  </si>
  <si>
    <t>University of West Florida</t>
  </si>
  <si>
    <t>Florida Gulf Coast University</t>
  </si>
  <si>
    <t>New College of Florida</t>
  </si>
  <si>
    <t>OK</t>
  </si>
  <si>
    <t xml:space="preserve">Francis Tuttle Technology Center                  </t>
  </si>
  <si>
    <t xml:space="preserve">Great Plains Technology Center                    </t>
  </si>
  <si>
    <t xml:space="preserve">Metro Technology Centers                          </t>
  </si>
  <si>
    <t xml:space="preserve">Moore Norman Technology Center                    </t>
  </si>
  <si>
    <t xml:space="preserve">Tulsa Technology Center-Broken Arrow Campus       </t>
  </si>
  <si>
    <t xml:space="preserve">Autry Technology Center                           </t>
  </si>
  <si>
    <t xml:space="preserve">Caddo Kiowa Technology Center                     </t>
  </si>
  <si>
    <t xml:space="preserve">Canadian Valley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</si>
  <si>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</si>
  <si>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</si>
  <si>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</si>
  <si>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</si>
  <si>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</si>
  <si>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</si>
  <si>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</si>
  <si>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</si>
  <si>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</si>
  <si>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</si>
  <si>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</si>
  <si>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</si>
  <si>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</si>
  <si>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</si>
  <si>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</si>
  <si>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</si>
  <si>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</si>
  <si>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</si>
  <si>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</si>
  <si>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</si>
  <si>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</si>
  <si>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</si>
  <si>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</si>
  <si>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</si>
  <si>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</si>
  <si>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</si>
  <si>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</si>
  <si>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</si>
  <si>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</si>
  <si>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</si>
  <si>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</si>
  <si>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</si>
  <si>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</si>
  <si>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</si>
  <si>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</si>
  <si>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</si>
  <si>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</si>
  <si>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</si>
  <si>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WV</t>
  </si>
  <si>
    <t>West Virginia University</t>
  </si>
  <si>
    <t xml:space="preserve">Marshall University </t>
  </si>
  <si>
    <t xml:space="preserve">Bluefield State College </t>
  </si>
  <si>
    <t xml:space="preserve">Concord University </t>
  </si>
  <si>
    <t>Fairmont State University</t>
  </si>
  <si>
    <t xml:space="preserve">Glenville State College </t>
  </si>
  <si>
    <t xml:space="preserve">Shepherd University </t>
  </si>
  <si>
    <t xml:space="preserve">West Virginia State University </t>
  </si>
  <si>
    <t>West Virginia University Institute of Technology</t>
  </si>
  <si>
    <t>West Virginia University at Parkersburg</t>
  </si>
  <si>
    <t>Pierpont Community &amp; Technical College</t>
  </si>
  <si>
    <t>Blue Ridge Community &amp; Technical College</t>
  </si>
  <si>
    <t>Community &amp; Technical College at WVU Tech</t>
  </si>
  <si>
    <t>Eastern West Virginia Community &amp; Technical College</t>
  </si>
  <si>
    <t>Marshall Community &amp; Technical College</t>
  </si>
  <si>
    <t>New River Community &amp; Technical College</t>
  </si>
  <si>
    <t>Potomac State College of West Virginia University</t>
  </si>
  <si>
    <t xml:space="preserve">Southern West Virginia Community &amp; Technical College </t>
  </si>
  <si>
    <t>West Virginia Northern Community College</t>
  </si>
  <si>
    <t>WV State Community &amp; Technical College</t>
  </si>
  <si>
    <t>VA</t>
  </si>
  <si>
    <t>University of Virginia</t>
  </si>
  <si>
    <t xml:space="preserve">Virginia Tech </t>
  </si>
  <si>
    <t>College of William &amp; Mary</t>
  </si>
  <si>
    <t xml:space="preserve">George Mason University </t>
  </si>
  <si>
    <t xml:space="preserve">Old Dominion University </t>
  </si>
  <si>
    <t xml:space="preserve">Virginia Commonwealth University  </t>
  </si>
  <si>
    <t xml:space="preserve">James Madison University  </t>
  </si>
  <si>
    <t>Radford University</t>
  </si>
  <si>
    <t>Christopher Newport University</t>
  </si>
  <si>
    <t xml:space="preserve">Norfolk State University </t>
  </si>
  <si>
    <t xml:space="preserve">Virginia State University </t>
  </si>
  <si>
    <t xml:space="preserve">Longwood University </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</si>
  <si>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</si>
  <si>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</si>
  <si>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</si>
  <si>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</si>
  <si>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</si>
  <si>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</si>
  <si>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</si>
  <si>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</si>
  <si>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</si>
  <si>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</si>
  <si>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</si>
  <si>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 xml:space="preserve">Lord Fairfax Community College  </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</si>
  <si>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</si>
  <si>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</si>
  <si>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</si>
  <si>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</si>
  <si>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</si>
  <si>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</si>
  <si>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</si>
  <si>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</si>
  <si>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 xml:space="preserve">Mountain Empire Community College  </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</si>
  <si>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</si>
  <si>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</si>
  <si>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</si>
  <si>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</si>
  <si>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</si>
  <si>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All Community Colleges except R. Bland</t>
  </si>
  <si>
    <t>10b</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</si>
  <si>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</si>
  <si>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</si>
  <si>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</si>
  <si>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</si>
  <si>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</si>
  <si>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</si>
  <si>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</si>
  <si>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</si>
  <si>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</si>
  <si>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</si>
  <si>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</si>
  <si>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</si>
  <si>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</si>
  <si>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</si>
  <si>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</si>
  <si>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</si>
  <si>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</si>
  <si>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</si>
  <si>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</si>
  <si>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</si>
  <si>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</si>
  <si>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</si>
  <si>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</si>
  <si>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</si>
  <si>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</si>
  <si>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</si>
  <si>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</si>
  <si>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</si>
  <si>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</si>
  <si>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</si>
  <si>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</si>
  <si>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</si>
  <si>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SC</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</si>
  <si>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</si>
  <si>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</si>
  <si>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</si>
  <si>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</si>
  <si>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</si>
  <si>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</si>
  <si>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</si>
  <si>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</si>
  <si>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</si>
  <si>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</si>
  <si>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</si>
  <si>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</si>
  <si>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</si>
  <si>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</si>
  <si>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</si>
  <si>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</si>
  <si>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</si>
  <si>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</si>
  <si>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</si>
  <si>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Orangeburg-Calhoun Technical College</t>
  </si>
  <si>
    <t xml:space="preserve">Piedmont Technical College </t>
  </si>
  <si>
    <t xml:space="preserve">Spartanburg Technical College </t>
  </si>
  <si>
    <t xml:space="preserve">Tri-County Technical College </t>
  </si>
  <si>
    <t xml:space="preserve">York Technical College </t>
  </si>
  <si>
    <t xml:space="preserve">Denmark Technical College </t>
  </si>
  <si>
    <t>Northeastern Technical College</t>
  </si>
  <si>
    <t>Technical College of the Low Country</t>
  </si>
  <si>
    <t>University of South Carolina-Lancaster</t>
  </si>
  <si>
    <t>University of South Carolina-Salkehatchie</t>
  </si>
  <si>
    <t>Tennessee Technology Center at Hohenwald</t>
  </si>
  <si>
    <t>A change of more than a 10% up or down will trigger a red warning.</t>
  </si>
  <si>
    <t>Old-Total HS SCH</t>
  </si>
  <si>
    <t>New-Total HS SCH</t>
  </si>
  <si>
    <t>Old-Total HS CH</t>
  </si>
  <si>
    <t>New-Total HS CH</t>
  </si>
  <si>
    <t xml:space="preserve">College of Coastal Georgia </t>
  </si>
  <si>
    <t>Virginia Military Institute</t>
  </si>
  <si>
    <t>LA</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</si>
  <si>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</si>
  <si>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</si>
  <si>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</si>
  <si>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</si>
  <si>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</si>
  <si>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</si>
  <si>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</si>
  <si>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</si>
  <si>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</si>
  <si>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</si>
  <si>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</si>
  <si>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</si>
  <si>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</si>
  <si>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</si>
  <si>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 xml:space="preserve">Delgado Community College </t>
  </si>
  <si>
    <t>Baton Rouge Community College</t>
  </si>
  <si>
    <t>Bossier Parish Community College</t>
  </si>
  <si>
    <t>Louisiana State University at Eunice</t>
  </si>
  <si>
    <t>Louisiana Delta Community College</t>
  </si>
  <si>
    <t>Nunez Community College</t>
  </si>
  <si>
    <t>River Parishes Community College</t>
  </si>
  <si>
    <t>South Louisiana Community College</t>
  </si>
  <si>
    <t>Southern University in Shreveport</t>
  </si>
  <si>
    <t>Sowela Technical Community College</t>
  </si>
  <si>
    <t>L.E. Fletcher Technical Community College</t>
  </si>
  <si>
    <t>for use in FB37</t>
  </si>
  <si>
    <t>2007-08</t>
  </si>
  <si>
    <t>For use in FB 37 and DE Highlights</t>
  </si>
  <si>
    <r>
      <rPr>
        <b/>
        <sz val="10"/>
        <rFont val="Arial"/>
        <family val="2"/>
      </rPr>
      <t>Old</t>
    </r>
    <r>
      <rPr>
        <sz val="10"/>
        <rFont val="Arial"/>
        <family val="2"/>
      </rPr>
      <t xml:space="preserve"> % by H.S. Students</t>
    </r>
  </si>
  <si>
    <t>Public Technical Institutes or Colleges, 2008-09</t>
  </si>
  <si>
    <t>Public Two-Year Colleges, 2008-09</t>
  </si>
  <si>
    <t>Hours taken by students still in high school (dual enrollment, joint enrollment, early college, etc.)</t>
  </si>
  <si>
    <t>Montgomery College (all campuses)</t>
  </si>
  <si>
    <t>For use in DE Highlights and Fact Book</t>
  </si>
  <si>
    <t>Two Year 1</t>
  </si>
  <si>
    <t>Four-Year 1</t>
  </si>
  <si>
    <t>w/ Bachelor's</t>
  </si>
  <si>
    <t>January 2010</t>
  </si>
  <si>
    <t>Technical 1</t>
  </si>
  <si>
    <t>size unknown</t>
  </si>
  <si>
    <r>
      <t>XX Table 50B……….</t>
    </r>
    <r>
      <rPr>
        <b/>
        <sz val="14"/>
        <color rgb="FFC00000"/>
        <rFont val="Arial"/>
        <family val="2"/>
      </rPr>
      <t>Discontinued but still used for summary info and Fact Book</t>
    </r>
    <r>
      <rPr>
        <b/>
        <sz val="14"/>
        <rFont val="Arial"/>
        <family val="2"/>
      </rPr>
      <t>-------see sections to right---------------&gt;&gt;&gt;&gt;&gt;&gt;&gt;&gt;</t>
    </r>
  </si>
  <si>
    <t>Old-Total Undg SCH2</t>
  </si>
  <si>
    <t>New-Total Undg SCH2</t>
  </si>
  <si>
    <t>Old-Total Undg CH2</t>
  </si>
  <si>
    <t>New-Total Undg CH2</t>
  </si>
  <si>
    <t>—</t>
  </si>
  <si>
    <t xml:space="preserve"> January 2010</t>
  </si>
  <si>
    <t xml:space="preserve"> HS % Change</t>
  </si>
  <si>
    <t>Total  HS % Change</t>
  </si>
  <si>
    <t>Calculated Field</t>
  </si>
  <si>
    <t>Solve Order</t>
  </si>
  <si>
    <t>Field</t>
  </si>
  <si>
    <t>Formula</t>
  </si>
  <si>
    <t>Calculated Item</t>
  </si>
  <si>
    <t>Item</t>
  </si>
  <si>
    <t>% Change Undg SCH FTE</t>
  </si>
  <si>
    <t>=IF('Old-Total Undg SCH FTE'&gt;0,((('New-Total Undg SCH FTE'-'Old-Total Undg SCH FTE')/'Old-Total Undg SCH FTE')*100),0)</t>
  </si>
  <si>
    <t>% Change Grad FTE</t>
  </si>
  <si>
    <t>=IF(#NAME?&gt;0, (((#NAME?-#NAME?)/#NAME?)*100),0)</t>
  </si>
  <si>
    <t>% Change Undg CH FTE</t>
  </si>
  <si>
    <t>=IF('Old-Total Undg CH FTE'&gt;0,((('New-Total Undg CH FTE'-'Old-Total Undg CH FTE')/'Old-Total Undg CH FTE')*100),0)</t>
  </si>
  <si>
    <t>New-Total HSH</t>
  </si>
  <si>
    <t>='New-Total HS SCH'+'New-Total HS CH'</t>
  </si>
  <si>
    <t>New-Total UGH</t>
  </si>
  <si>
    <t>='New-Total Undg SCH2'+'New-Total Undg CH2'</t>
  </si>
  <si>
    <t>New-HS % of Total</t>
  </si>
  <si>
    <t>=IF('New-Total UGH'&gt;0,('New-Total HSH'/'New-Total UGH'))</t>
  </si>
  <si>
    <t>Old-HS % of Total</t>
  </si>
  <si>
    <t>=IF('Old-Total HSH'&gt;0,('Old-Total HSH'/'Old-Total UGH'),)</t>
  </si>
  <si>
    <t>% Change Total FTE</t>
  </si>
  <si>
    <t>=IF(#NAME?&gt;0, (((#NAME?-#NAME?)/#NAME?))*100,0)</t>
  </si>
  <si>
    <t>Old-Total UGH</t>
  </si>
  <si>
    <t>='Old-Total Undg SCH2'+'Old-Total Undg CH2'</t>
  </si>
  <si>
    <t>Old-Total HSH</t>
  </si>
  <si>
    <t>='Old-Total HS SCH'+'Old-Total HS CH'</t>
  </si>
  <si>
    <t>HS % Change</t>
  </si>
  <si>
    <t>= IF('Old-Total HSH'&gt;0,'New-HS % of Total'-'Old-HS % of Total',"—")</t>
  </si>
  <si>
    <t>Note:</t>
  </si>
  <si>
    <t>When a cell is updated by more than one formula,</t>
  </si>
  <si>
    <t>the value is set by the formula with the last solve order.</t>
  </si>
  <si>
    <t>To change the solve order for multiple calculated items or fields,</t>
  </si>
  <si>
    <t>on the Options tab, in the Tools group, click Formulas, and then click Solve Order.</t>
  </si>
  <si>
    <t>CountDif</t>
  </si>
  <si>
    <t>COUNT('Old-HS % of Total' ))&lt;&gt;(COUNT('New-HS % of Total' )),'New-HS % of Total' -'Old-HS % of Total',"--")</t>
  </si>
  <si>
    <t>New Reg Change Calc</t>
  </si>
</sst>
</file>

<file path=xl/styles.xml><?xml version="1.0" encoding="utf-8"?>
<styleSheet xmlns="http://schemas.openxmlformats.org/spreadsheetml/2006/main">
  <numFmts count="10">
    <numFmt numFmtId="43" formatCode="_(* #,##0.00_);_(* \(#,##0.00\);_(* &quot;-&quot;??_);_(@_)"/>
    <numFmt numFmtId="164" formatCode="0_)"/>
    <numFmt numFmtId="165" formatCode="_(* #,##0_);_(* \(#,##0\);_(* &quot;-&quot;??_);_(@_)"/>
    <numFmt numFmtId="166" formatCode="#,##0.0"/>
    <numFmt numFmtId="167" formatCode="General_)"/>
    <numFmt numFmtId="168" formatCode="0.0%"/>
    <numFmt numFmtId="169" formatCode="_(* #,##0.0_);_(* \(#,##0.0\);_(* &quot;-&quot;??_);_(@_)"/>
    <numFmt numFmtId="170" formatCode="0.0"/>
    <numFmt numFmtId="171" formatCode="0.000"/>
    <numFmt numFmtId="172" formatCode="0.000%"/>
  </numFmts>
  <fonts count="46">
    <font>
      <sz val="8"/>
      <name val="Arial"/>
      <family val="2"/>
    </font>
    <font>
      <sz val="12"/>
      <name val="AGaramond"/>
      <family val="3"/>
    </font>
    <font>
      <sz val="12"/>
      <name val="AGaramond"/>
      <family val="1"/>
    </font>
    <font>
      <sz val="8"/>
      <name val="Arial"/>
      <family val="2"/>
    </font>
    <font>
      <sz val="9"/>
      <name val="Arial"/>
      <family val="2"/>
    </font>
    <font>
      <sz val="10"/>
      <name val="Arial"/>
      <family val="2"/>
    </font>
    <font>
      <sz val="14"/>
      <name val="Arial"/>
      <family val="2"/>
    </font>
    <font>
      <sz val="12"/>
      <name val="Arial"/>
      <family val="2"/>
    </font>
    <font>
      <b/>
      <sz val="12"/>
      <name val="Arial"/>
      <family val="2"/>
    </font>
    <font>
      <sz val="8"/>
      <name val="Arial"/>
      <family val="2"/>
    </font>
    <font>
      <b/>
      <sz val="8"/>
      <color indexed="81"/>
      <name val="Tahoma"/>
      <family val="2"/>
    </font>
    <font>
      <sz val="8"/>
      <color indexed="81"/>
      <name val="Tahoma"/>
      <family val="2"/>
    </font>
    <font>
      <b/>
      <sz val="14"/>
      <name val="Arial"/>
      <family val="2"/>
    </font>
    <font>
      <b/>
      <sz val="10"/>
      <name val="Arial"/>
      <family val="2"/>
    </font>
    <font>
      <b/>
      <sz val="9"/>
      <name val="Arial"/>
      <family val="2"/>
    </font>
    <font>
      <b/>
      <sz val="10"/>
      <color indexed="81"/>
      <name val="Tahoma"/>
      <family val="2"/>
    </font>
    <font>
      <sz val="10"/>
      <color indexed="8"/>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sz val="10"/>
      <color indexed="81"/>
      <name val="Tahoma"/>
      <family val="2"/>
    </font>
    <font>
      <sz val="10"/>
      <name val="Courier"/>
      <family val="3"/>
    </font>
    <font>
      <sz val="10"/>
      <color indexed="16"/>
      <name val="Arial"/>
      <family val="2"/>
    </font>
    <font>
      <b/>
      <sz val="9"/>
      <color indexed="12"/>
      <name val="Arial"/>
      <family val="2"/>
    </font>
    <font>
      <sz val="9"/>
      <color indexed="12"/>
      <name val="Arial"/>
      <family val="2"/>
    </font>
    <font>
      <sz val="10"/>
      <name val="Helv"/>
    </font>
    <font>
      <sz val="10"/>
      <name val="MS Sans Serif"/>
      <family val="2"/>
    </font>
    <font>
      <sz val="8"/>
      <color indexed="8"/>
      <name val="Tahoma"/>
      <family val="2"/>
    </font>
    <font>
      <sz val="10"/>
      <color indexed="10"/>
      <name val="Arial"/>
      <family val="2"/>
    </font>
    <font>
      <sz val="10"/>
      <name val="Arial"/>
      <family val="2"/>
    </font>
    <font>
      <b/>
      <sz val="10"/>
      <color indexed="16"/>
      <name val="Arial"/>
      <family val="2"/>
    </font>
    <font>
      <b/>
      <sz val="10"/>
      <color indexed="8"/>
      <name val="Arial"/>
      <family val="2"/>
    </font>
    <font>
      <b/>
      <sz val="10"/>
      <color rgb="FFC00000"/>
      <name val="ARIAL"/>
      <family val="2"/>
    </font>
    <font>
      <sz val="10"/>
      <color rgb="FFC00000"/>
      <name val="Arial"/>
      <family val="2"/>
    </font>
    <font>
      <sz val="10"/>
      <color indexed="17"/>
      <name val="Arial"/>
      <family val="2"/>
    </font>
    <font>
      <b/>
      <sz val="10"/>
      <color rgb="FF0000FF"/>
      <name val="Arial"/>
      <family val="2"/>
    </font>
    <font>
      <sz val="10"/>
      <color rgb="FF0000FF"/>
      <name val="Arial"/>
      <family val="2"/>
    </font>
    <font>
      <b/>
      <sz val="14"/>
      <color rgb="FFC00000"/>
      <name val="Arial"/>
      <family val="2"/>
    </font>
    <font>
      <sz val="10"/>
      <name val="Arial"/>
      <family val="2"/>
    </font>
    <font>
      <b/>
      <sz val="10"/>
      <name val="Arial"/>
      <family val="2"/>
    </font>
    <font>
      <b/>
      <sz val="10"/>
      <color indexed="12"/>
      <name val="Calibri"/>
      <family val="2"/>
    </font>
    <font>
      <sz val="10"/>
      <name val="Calibri"/>
      <family val="2"/>
    </font>
    <font>
      <b/>
      <sz val="8"/>
      <name val="Arial"/>
      <family val="2"/>
    </font>
    <font>
      <b/>
      <i/>
      <sz val="8"/>
      <name val="Arial"/>
      <family val="2"/>
    </font>
    <font>
      <b/>
      <sz val="11"/>
      <color rgb="FFC00000"/>
      <name val="ARIAL"/>
      <family val="2"/>
    </font>
  </fonts>
  <fills count="29">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45"/>
        <bgColor indexed="42"/>
      </patternFill>
    </fill>
    <fill>
      <patternFill patternType="solid">
        <fgColor indexed="44"/>
        <bgColor indexed="64"/>
      </patternFill>
    </fill>
    <fill>
      <patternFill patternType="solid">
        <fgColor indexed="44"/>
        <bgColor indexed="42"/>
      </patternFill>
    </fill>
    <fill>
      <patternFill patternType="solid">
        <fgColor indexed="42"/>
        <bgColor indexed="42"/>
      </patternFill>
    </fill>
    <fill>
      <patternFill patternType="solid">
        <fgColor indexed="15"/>
        <bgColor indexed="64"/>
      </patternFill>
    </fill>
    <fill>
      <patternFill patternType="solid">
        <fgColor indexed="15"/>
        <bgColor indexed="42"/>
      </patternFill>
    </fill>
    <fill>
      <patternFill patternType="solid">
        <fgColor indexed="47"/>
        <bgColor indexed="42"/>
      </patternFill>
    </fill>
    <fill>
      <patternFill patternType="solid">
        <fgColor indexed="51"/>
        <bgColor indexed="64"/>
      </patternFill>
    </fill>
    <fill>
      <patternFill patternType="solid">
        <fgColor indexed="51"/>
        <bgColor indexed="42"/>
      </patternFill>
    </fill>
    <fill>
      <patternFill patternType="solid">
        <fgColor indexed="43"/>
        <bgColor indexed="64"/>
      </patternFill>
    </fill>
    <fill>
      <patternFill patternType="solid">
        <fgColor indexed="43"/>
        <bgColor indexed="42"/>
      </patternFill>
    </fill>
    <fill>
      <patternFill patternType="solid">
        <fgColor indexed="50"/>
        <bgColor indexed="64"/>
      </patternFill>
    </fill>
    <fill>
      <patternFill patternType="solid">
        <fgColor indexed="49"/>
        <bgColor indexed="64"/>
      </patternFill>
    </fill>
    <fill>
      <patternFill patternType="solid">
        <fgColor indexed="11"/>
        <bgColor indexed="64"/>
      </patternFill>
    </fill>
    <fill>
      <patternFill patternType="solid">
        <fgColor indexed="41"/>
        <bgColor indexed="64"/>
      </patternFill>
    </fill>
    <fill>
      <patternFill patternType="solid">
        <fgColor indexed="13"/>
        <bgColor indexed="64"/>
      </patternFill>
    </fill>
    <fill>
      <patternFill patternType="solid">
        <fgColor indexed="46"/>
        <bgColor indexed="42"/>
      </patternFill>
    </fill>
    <fill>
      <patternFill patternType="solid">
        <fgColor theme="5"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FF99"/>
        <bgColor indexed="64"/>
      </patternFill>
    </fill>
    <fill>
      <patternFill patternType="solid">
        <fgColor rgb="FFFFFFCC"/>
        <bgColor indexed="64"/>
      </patternFill>
    </fill>
  </fills>
  <borders count="55">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diagonal/>
    </border>
    <border>
      <left/>
      <right style="thin">
        <color indexed="8"/>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64"/>
      </bottom>
      <diagonal/>
    </border>
    <border>
      <left style="thin">
        <color indexed="8"/>
      </left>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8"/>
      </top>
      <bottom style="thin">
        <color indexed="64"/>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65"/>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style="thin">
        <color indexed="8"/>
      </left>
      <right/>
      <top style="thin">
        <color indexed="65"/>
      </top>
      <bottom style="thin">
        <color indexed="64"/>
      </bottom>
      <diagonal/>
    </border>
    <border>
      <left style="thin">
        <color indexed="64"/>
      </left>
      <right/>
      <top style="thin">
        <color indexed="64"/>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8"/>
      </bottom>
      <diagonal/>
    </border>
    <border>
      <left style="thin">
        <color indexed="64"/>
      </left>
      <right style="thin">
        <color indexed="64"/>
      </right>
      <top/>
      <bottom/>
      <diagonal/>
    </border>
    <border>
      <left style="thin">
        <color indexed="64"/>
      </left>
      <right style="thin">
        <color indexed="8"/>
      </right>
      <top/>
      <bottom/>
      <diagonal/>
    </border>
    <border>
      <left style="thin">
        <color indexed="65"/>
      </left>
      <right style="thin">
        <color indexed="8"/>
      </right>
      <top style="thin">
        <color indexed="8"/>
      </top>
      <bottom style="thin">
        <color indexed="8"/>
      </bottom>
      <diagonal/>
    </border>
    <border>
      <left style="thin">
        <color indexed="8"/>
      </left>
      <right style="thin">
        <color indexed="8"/>
      </right>
      <top style="thin">
        <color indexed="65"/>
      </top>
      <bottom style="thin">
        <color indexed="64"/>
      </bottom>
      <diagonal/>
    </border>
    <border>
      <left style="thin">
        <color indexed="64"/>
      </left>
      <right style="thin">
        <color indexed="8"/>
      </right>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3" fontId="0" fillId="0" borderId="0"/>
    <xf numFmtId="43" fontId="2" fillId="0" borderId="0" applyFont="0" applyFill="0" applyBorder="0" applyAlignment="0" applyProtection="0"/>
    <xf numFmtId="167" fontId="26" fillId="0" borderId="0"/>
    <xf numFmtId="167" fontId="26" fillId="0" borderId="0"/>
    <xf numFmtId="3" fontId="3" fillId="0" borderId="0"/>
    <xf numFmtId="3" fontId="3" fillId="0" borderId="0"/>
    <xf numFmtId="0" fontId="27" fillId="0" borderId="0"/>
    <xf numFmtId="164" fontId="1" fillId="0" borderId="0"/>
    <xf numFmtId="164" fontId="1" fillId="0" borderId="0"/>
    <xf numFmtId="37" fontId="22" fillId="0" borderId="0"/>
    <xf numFmtId="3" fontId="3" fillId="0" borderId="0"/>
    <xf numFmtId="3" fontId="3" fillId="0" borderId="0"/>
    <xf numFmtId="164" fontId="1" fillId="0" borderId="0"/>
    <xf numFmtId="164" fontId="1" fillId="0" borderId="0"/>
    <xf numFmtId="9" fontId="2" fillId="0" borderId="0" applyFont="0" applyFill="0" applyBorder="0" applyAlignment="0" applyProtection="0"/>
    <xf numFmtId="3" fontId="5" fillId="0" borderId="1" applyFont="0"/>
    <xf numFmtId="164" fontId="13" fillId="0" borderId="2" applyNumberFormat="0" applyFont="0" applyBorder="0" applyAlignment="0"/>
  </cellStyleXfs>
  <cellXfs count="686">
    <xf numFmtId="3" fontId="0" fillId="0" borderId="0" xfId="0"/>
    <xf numFmtId="3" fontId="5" fillId="0" borderId="0" xfId="0" applyFont="1"/>
    <xf numFmtId="3" fontId="5" fillId="0" borderId="0" xfId="0" applyNumberFormat="1" applyFont="1"/>
    <xf numFmtId="3" fontId="5" fillId="0" borderId="3" xfId="0" applyFont="1" applyBorder="1"/>
    <xf numFmtId="3" fontId="5" fillId="0" borderId="0" xfId="0" applyFont="1" applyFill="1"/>
    <xf numFmtId="37" fontId="5" fillId="0" borderId="0" xfId="0" applyNumberFormat="1" applyFont="1" applyAlignment="1">
      <alignment horizontal="right"/>
    </xf>
    <xf numFmtId="37" fontId="5" fillId="0" borderId="3" xfId="0" applyNumberFormat="1" applyFont="1" applyBorder="1" applyAlignment="1">
      <alignment horizontal="right"/>
    </xf>
    <xf numFmtId="3" fontId="5" fillId="0" borderId="0" xfId="0" applyNumberFormat="1" applyFont="1" applyAlignment="1">
      <alignment horizontal="right"/>
    </xf>
    <xf numFmtId="3" fontId="5" fillId="0" borderId="4" xfId="0" applyNumberFormat="1" applyFont="1" applyBorder="1" applyAlignment="1">
      <alignment horizontal="right"/>
    </xf>
    <xf numFmtId="3" fontId="5" fillId="0" borderId="3" xfId="0" applyNumberFormat="1" applyFont="1" applyBorder="1" applyAlignment="1">
      <alignment horizontal="right"/>
    </xf>
    <xf numFmtId="3" fontId="5" fillId="0" borderId="5" xfId="0" applyNumberFormat="1" applyFont="1" applyBorder="1" applyAlignment="1">
      <alignment horizontal="right"/>
    </xf>
    <xf numFmtId="3" fontId="5" fillId="0" borderId="0" xfId="1" applyNumberFormat="1" applyFont="1" applyAlignment="1">
      <alignment horizontal="right"/>
    </xf>
    <xf numFmtId="3" fontId="5" fillId="0" borderId="4" xfId="1" applyNumberFormat="1" applyFont="1" applyBorder="1" applyAlignment="1">
      <alignment horizontal="right"/>
    </xf>
    <xf numFmtId="3" fontId="5" fillId="0" borderId="3" xfId="1" applyNumberFormat="1" applyFont="1" applyBorder="1" applyAlignment="1">
      <alignment horizontal="right"/>
    </xf>
    <xf numFmtId="3" fontId="5" fillId="0" borderId="5" xfId="1" applyNumberFormat="1" applyFont="1" applyBorder="1" applyAlignment="1">
      <alignment horizontal="right"/>
    </xf>
    <xf numFmtId="37" fontId="5" fillId="0" borderId="0" xfId="0" applyNumberFormat="1" applyFont="1" applyBorder="1" applyAlignment="1">
      <alignment horizontal="right"/>
    </xf>
    <xf numFmtId="37" fontId="5" fillId="0" borderId="6" xfId="0" applyNumberFormat="1" applyFont="1" applyBorder="1" applyAlignment="1">
      <alignment horizontal="right"/>
    </xf>
    <xf numFmtId="3" fontId="7" fillId="0" borderId="0" xfId="0" applyFont="1" applyAlignment="1">
      <alignment horizontal="centerContinuous"/>
    </xf>
    <xf numFmtId="37" fontId="5" fillId="0" borderId="7" xfId="0" applyNumberFormat="1" applyFont="1" applyBorder="1" applyAlignment="1">
      <alignment horizontal="right"/>
    </xf>
    <xf numFmtId="37" fontId="5" fillId="0" borderId="8" xfId="0" applyNumberFormat="1" applyFont="1" applyBorder="1" applyAlignment="1">
      <alignment horizontal="right"/>
    </xf>
    <xf numFmtId="3" fontId="6" fillId="0" borderId="0" xfId="0" applyFont="1" applyAlignment="1">
      <alignment horizontal="centerContinuous"/>
    </xf>
    <xf numFmtId="3" fontId="8" fillId="0" borderId="0" xfId="0" applyFont="1" applyAlignment="1">
      <alignment horizontal="centerContinuous"/>
    </xf>
    <xf numFmtId="3" fontId="5" fillId="0" borderId="0" xfId="0" applyFont="1" applyAlignment="1">
      <alignment horizontal="centerContinuous"/>
    </xf>
    <xf numFmtId="37" fontId="5" fillId="0" borderId="9" xfId="0" applyNumberFormat="1" applyFont="1" applyBorder="1" applyAlignment="1">
      <alignment horizontal="right"/>
    </xf>
    <xf numFmtId="37" fontId="5" fillId="0" borderId="10" xfId="0" applyNumberFormat="1" applyFont="1" applyBorder="1" applyAlignment="1">
      <alignment horizontal="right"/>
    </xf>
    <xf numFmtId="3" fontId="5" fillId="0" borderId="0" xfId="0" applyFont="1" applyBorder="1"/>
    <xf numFmtId="3" fontId="5" fillId="0" borderId="0" xfId="0" applyNumberFormat="1" applyFont="1" applyBorder="1"/>
    <xf numFmtId="3" fontId="4" fillId="0" borderId="11" xfId="0" applyFont="1" applyBorder="1" applyAlignment="1">
      <alignment horizontal="centerContinuous"/>
    </xf>
    <xf numFmtId="3" fontId="4" fillId="0" borderId="12" xfId="0" applyFont="1" applyBorder="1" applyAlignment="1">
      <alignment horizontal="centerContinuous"/>
    </xf>
    <xf numFmtId="3" fontId="4" fillId="0" borderId="13" xfId="0" applyFont="1" applyBorder="1" applyAlignment="1">
      <alignment horizontal="centerContinuous"/>
    </xf>
    <xf numFmtId="3" fontId="5" fillId="0" borderId="13" xfId="0" applyFont="1" applyBorder="1" applyAlignment="1">
      <alignment horizontal="centerContinuous"/>
    </xf>
    <xf numFmtId="3" fontId="5" fillId="0" borderId="11" xfId="0" applyFont="1" applyBorder="1" applyAlignment="1">
      <alignment horizontal="centerContinuous"/>
    </xf>
    <xf numFmtId="3" fontId="5" fillId="0" borderId="7" xfId="0" applyFont="1" applyBorder="1"/>
    <xf numFmtId="3" fontId="5" fillId="0" borderId="0" xfId="0" applyNumberFormat="1" applyFont="1" applyBorder="1" applyAlignment="1">
      <alignment horizontal="right"/>
    </xf>
    <xf numFmtId="3" fontId="5" fillId="0" borderId="0" xfId="1" applyNumberFormat="1" applyFont="1" applyBorder="1" applyAlignment="1">
      <alignment horizontal="right"/>
    </xf>
    <xf numFmtId="3" fontId="6" fillId="0" borderId="0" xfId="0" applyFont="1" applyBorder="1" applyAlignment="1">
      <alignment horizontal="centerContinuous"/>
    </xf>
    <xf numFmtId="3" fontId="8" fillId="0" borderId="0" xfId="0" applyFont="1" applyBorder="1" applyAlignment="1">
      <alignment horizontal="centerContinuous"/>
    </xf>
    <xf numFmtId="3" fontId="5" fillId="0" borderId="14" xfId="0" applyFont="1" applyBorder="1"/>
    <xf numFmtId="3" fontId="5" fillId="0" borderId="15" xfId="0" applyFont="1" applyBorder="1"/>
    <xf numFmtId="3" fontId="5" fillId="0" borderId="16" xfId="0" applyFont="1" applyBorder="1"/>
    <xf numFmtId="37" fontId="5" fillId="0" borderId="0" xfId="0" applyNumberFormat="1" applyFont="1" applyBorder="1" applyAlignment="1">
      <alignment horizontal="center"/>
    </xf>
    <xf numFmtId="37" fontId="5" fillId="0" borderId="3" xfId="0" applyNumberFormat="1" applyFont="1" applyBorder="1" applyAlignment="1">
      <alignment horizontal="center"/>
    </xf>
    <xf numFmtId="37" fontId="12" fillId="0" borderId="0" xfId="0" applyNumberFormat="1" applyFont="1" applyAlignment="1" applyProtection="1">
      <alignment horizontal="centerContinuous"/>
    </xf>
    <xf numFmtId="37" fontId="5" fillId="0" borderId="0" xfId="0" quotePrefix="1" applyNumberFormat="1" applyFont="1" applyBorder="1" applyAlignment="1">
      <alignment horizontal="left"/>
    </xf>
    <xf numFmtId="37" fontId="8" fillId="0" borderId="0" xfId="0" applyNumberFormat="1" applyFont="1" applyAlignment="1" applyProtection="1">
      <alignment horizontal="centerContinuous"/>
    </xf>
    <xf numFmtId="37" fontId="13" fillId="0" borderId="13" xfId="0" applyNumberFormat="1" applyFont="1" applyBorder="1" applyProtection="1"/>
    <xf numFmtId="37" fontId="13" fillId="0" borderId="17" xfId="0" applyNumberFormat="1" applyFont="1" applyBorder="1" applyAlignment="1" applyProtection="1">
      <alignment horizontal="center"/>
    </xf>
    <xf numFmtId="37" fontId="14" fillId="0" borderId="17" xfId="0" applyNumberFormat="1" applyFont="1" applyBorder="1" applyAlignment="1" applyProtection="1">
      <alignment horizontal="right"/>
    </xf>
    <xf numFmtId="37" fontId="14" fillId="0" borderId="11" xfId="0" applyNumberFormat="1" applyFont="1" applyBorder="1" applyAlignment="1" applyProtection="1">
      <alignment horizontal="right"/>
    </xf>
    <xf numFmtId="3" fontId="9" fillId="0" borderId="0" xfId="0" applyFont="1"/>
    <xf numFmtId="37" fontId="9" fillId="0" borderId="0" xfId="0" applyNumberFormat="1" applyFont="1" applyAlignment="1" applyProtection="1">
      <alignment horizontal="left"/>
    </xf>
    <xf numFmtId="3" fontId="9" fillId="0" borderId="0" xfId="0" applyNumberFormat="1" applyFont="1"/>
    <xf numFmtId="39" fontId="8" fillId="0" borderId="0" xfId="0" applyNumberFormat="1" applyFont="1" applyAlignment="1" applyProtection="1">
      <alignment horizontal="centerContinuous"/>
    </xf>
    <xf numFmtId="37" fontId="14" fillId="0" borderId="11" xfId="0" applyNumberFormat="1" applyFont="1" applyBorder="1" applyAlignment="1" applyProtection="1">
      <alignment horizontal="centerContinuous"/>
    </xf>
    <xf numFmtId="37" fontId="14" fillId="0" borderId="17" xfId="0" applyNumberFormat="1" applyFont="1" applyBorder="1" applyAlignment="1" applyProtection="1">
      <alignment horizontal="center"/>
    </xf>
    <xf numFmtId="37" fontId="14" fillId="0" borderId="10" xfId="0" applyNumberFormat="1" applyFont="1" applyBorder="1" applyAlignment="1" applyProtection="1">
      <alignment horizontal="right"/>
    </xf>
    <xf numFmtId="37" fontId="7" fillId="0" borderId="0" xfId="0" applyNumberFormat="1" applyFont="1" applyAlignment="1" applyProtection="1">
      <alignment horizontal="centerContinuous"/>
    </xf>
    <xf numFmtId="37" fontId="14" fillId="0" borderId="13" xfId="0" applyNumberFormat="1" applyFont="1" applyBorder="1" applyAlignment="1" applyProtection="1">
      <alignment horizontal="centerContinuous"/>
    </xf>
    <xf numFmtId="37" fontId="14" fillId="0" borderId="18" xfId="0" applyNumberFormat="1" applyFont="1" applyBorder="1" applyAlignment="1" applyProtection="1">
      <alignment horizontal="centerContinuous"/>
    </xf>
    <xf numFmtId="37" fontId="14" fillId="0" borderId="17" xfId="0" applyNumberFormat="1" applyFont="1" applyBorder="1" applyAlignment="1" applyProtection="1">
      <alignment horizontal="center" wrapText="1"/>
    </xf>
    <xf numFmtId="37" fontId="14" fillId="0" borderId="19" xfId="0" applyNumberFormat="1" applyFont="1" applyBorder="1" applyAlignment="1" applyProtection="1">
      <alignment horizontal="right"/>
    </xf>
    <xf numFmtId="37" fontId="14" fillId="0" borderId="20" xfId="0" applyNumberFormat="1" applyFont="1" applyBorder="1" applyAlignment="1" applyProtection="1">
      <alignment horizontal="center" wrapText="1"/>
    </xf>
    <xf numFmtId="37" fontId="13" fillId="0" borderId="13" xfId="0" applyNumberFormat="1" applyFont="1" applyBorder="1" applyAlignment="1" applyProtection="1">
      <alignment horizontal="centerContinuous"/>
    </xf>
    <xf numFmtId="37" fontId="8" fillId="0" borderId="0" xfId="0" applyNumberFormat="1" applyFont="1" applyBorder="1" applyAlignment="1" applyProtection="1">
      <alignment horizontal="centerContinuous"/>
    </xf>
    <xf numFmtId="37" fontId="13" fillId="0" borderId="17" xfId="0" applyNumberFormat="1" applyFont="1" applyBorder="1" applyProtection="1"/>
    <xf numFmtId="37" fontId="14" fillId="0" borderId="14" xfId="0" applyNumberFormat="1" applyFont="1" applyBorder="1" applyAlignment="1" applyProtection="1">
      <alignment horizontal="centerContinuous"/>
    </xf>
    <xf numFmtId="37" fontId="14" fillId="0" borderId="14" xfId="0" applyNumberFormat="1" applyFont="1" applyBorder="1" applyAlignment="1" applyProtection="1">
      <alignment horizontal="centerContinuous" wrapText="1"/>
    </xf>
    <xf numFmtId="37" fontId="14" fillId="0" borderId="21" xfId="0" applyNumberFormat="1" applyFont="1" applyBorder="1" applyAlignment="1" applyProtection="1">
      <alignment horizontal="centerContinuous"/>
    </xf>
    <xf numFmtId="37" fontId="5" fillId="0" borderId="0" xfId="0" quotePrefix="1" applyNumberFormat="1" applyFont="1" applyBorder="1" applyAlignment="1">
      <alignment horizontal="right"/>
    </xf>
    <xf numFmtId="3" fontId="5" fillId="2" borderId="0" xfId="0" applyFont="1" applyFill="1"/>
    <xf numFmtId="37" fontId="14" fillId="2" borderId="14" xfId="0" applyNumberFormat="1" applyFont="1" applyFill="1" applyBorder="1" applyAlignment="1" applyProtection="1">
      <alignment horizontal="centerContinuous"/>
    </xf>
    <xf numFmtId="37" fontId="14" fillId="2" borderId="14" xfId="0" applyNumberFormat="1" applyFont="1" applyFill="1" applyBorder="1" applyAlignment="1" applyProtection="1">
      <alignment horizontal="centerContinuous" wrapText="1"/>
    </xf>
    <xf numFmtId="168" fontId="5" fillId="2" borderId="0" xfId="14" applyNumberFormat="1" applyFont="1" applyFill="1"/>
    <xf numFmtId="3" fontId="5" fillId="0" borderId="0" xfId="11" applyFont="1" applyFill="1" applyBorder="1" applyAlignment="1">
      <alignment horizontal="center"/>
    </xf>
    <xf numFmtId="3" fontId="5" fillId="0" borderId="0" xfId="0" applyFont="1" applyFill="1" applyBorder="1"/>
    <xf numFmtId="37" fontId="14" fillId="0" borderId="0" xfId="0" applyNumberFormat="1" applyFont="1" applyBorder="1" applyAlignment="1" applyProtection="1">
      <alignment horizontal="centerContinuous" wrapText="1"/>
    </xf>
    <xf numFmtId="3" fontId="5" fillId="0" borderId="0" xfId="0" applyFont="1" applyAlignment="1">
      <alignment vertical="center"/>
    </xf>
    <xf numFmtId="3" fontId="5" fillId="0" borderId="6" xfId="0" applyFont="1" applyBorder="1"/>
    <xf numFmtId="3" fontId="5" fillId="2" borderId="0" xfId="10" applyNumberFormat="1" applyFont="1" applyFill="1" applyBorder="1" applyAlignment="1"/>
    <xf numFmtId="3" fontId="5" fillId="2" borderId="15" xfId="10" applyNumberFormat="1" applyFont="1" applyFill="1" applyBorder="1" applyAlignment="1"/>
    <xf numFmtId="3" fontId="17" fillId="3" borderId="0" xfId="10" applyNumberFormat="1" applyFont="1" applyFill="1" applyBorder="1" applyAlignment="1"/>
    <xf numFmtId="39" fontId="7" fillId="0" borderId="0" xfId="0" applyNumberFormat="1" applyFont="1" applyAlignment="1" applyProtection="1">
      <alignment horizontal="left"/>
    </xf>
    <xf numFmtId="3" fontId="5" fillId="2" borderId="4" xfId="0" applyFont="1" applyFill="1" applyBorder="1"/>
    <xf numFmtId="37" fontId="14" fillId="2" borderId="22" xfId="0" applyNumberFormat="1" applyFont="1" applyFill="1" applyBorder="1" applyAlignment="1" applyProtection="1">
      <alignment horizontal="centerContinuous" wrapText="1"/>
    </xf>
    <xf numFmtId="3" fontId="5" fillId="4" borderId="0" xfId="0" applyFont="1" applyFill="1" applyAlignment="1">
      <alignment vertical="center"/>
    </xf>
    <xf numFmtId="3" fontId="5" fillId="4" borderId="15" xfId="0" applyFont="1" applyFill="1" applyBorder="1" applyAlignment="1">
      <alignment vertical="center"/>
    </xf>
    <xf numFmtId="3" fontId="5" fillId="0" borderId="23" xfId="0" applyFont="1" applyFill="1" applyBorder="1"/>
    <xf numFmtId="3" fontId="5" fillId="0" borderId="3" xfId="0" applyFont="1" applyFill="1" applyBorder="1"/>
    <xf numFmtId="3" fontId="5" fillId="0" borderId="3" xfId="0" applyFont="1" applyFill="1" applyBorder="1" applyAlignment="1"/>
    <xf numFmtId="37" fontId="5" fillId="5" borderId="0" xfId="10" applyNumberFormat="1" applyFont="1" applyFill="1" applyBorder="1" applyAlignment="1" applyProtection="1">
      <alignment horizontal="center"/>
    </xf>
    <xf numFmtId="3" fontId="5" fillId="5" borderId="0" xfId="10" applyNumberFormat="1" applyFont="1" applyFill="1" applyBorder="1" applyAlignment="1"/>
    <xf numFmtId="3" fontId="5" fillId="6" borderId="0" xfId="10" applyFont="1" applyFill="1" applyBorder="1" applyAlignment="1"/>
    <xf numFmtId="3" fontId="5" fillId="6" borderId="0" xfId="10" applyFont="1" applyFill="1" applyBorder="1" applyAlignment="1" applyProtection="1"/>
    <xf numFmtId="1" fontId="5" fillId="7" borderId="4" xfId="13" applyNumberFormat="1" applyFont="1" applyFill="1" applyBorder="1" applyAlignment="1" applyProtection="1">
      <alignment horizontal="center"/>
    </xf>
    <xf numFmtId="3" fontId="5" fillId="8" borderId="0" xfId="10" applyFont="1" applyFill="1" applyBorder="1" applyAlignment="1"/>
    <xf numFmtId="1" fontId="5" fillId="9" borderId="4" xfId="13" applyNumberFormat="1" applyFont="1" applyFill="1" applyBorder="1" applyAlignment="1" applyProtection="1">
      <alignment horizontal="center"/>
    </xf>
    <xf numFmtId="3" fontId="5" fillId="0" borderId="0" xfId="10" applyFont="1" applyFill="1" applyBorder="1" applyAlignment="1"/>
    <xf numFmtId="49" fontId="5" fillId="8" borderId="0" xfId="1" applyNumberFormat="1" applyFont="1" applyFill="1" applyBorder="1" applyAlignment="1"/>
    <xf numFmtId="3" fontId="5" fillId="5" borderId="0" xfId="10" applyFont="1" applyFill="1" applyBorder="1" applyAlignment="1"/>
    <xf numFmtId="164" fontId="5" fillId="5" borderId="0" xfId="8" applyFont="1" applyFill="1" applyBorder="1"/>
    <xf numFmtId="3" fontId="5" fillId="8" borderId="0" xfId="10" applyFont="1" applyFill="1" applyBorder="1" applyAlignment="1" applyProtection="1"/>
    <xf numFmtId="164" fontId="5" fillId="8" borderId="0" xfId="7" applyFont="1" applyFill="1" applyBorder="1"/>
    <xf numFmtId="37" fontId="5" fillId="8" borderId="0" xfId="9" applyFont="1" applyFill="1" applyBorder="1" applyAlignment="1" applyProtection="1"/>
    <xf numFmtId="164" fontId="5" fillId="8" borderId="0" xfId="7" applyFont="1" applyFill="1" applyBorder="1" applyAlignment="1"/>
    <xf numFmtId="1" fontId="5" fillId="9" borderId="0" xfId="13" applyNumberFormat="1" applyFont="1" applyFill="1" applyBorder="1" applyAlignment="1" applyProtection="1">
      <alignment horizontal="center"/>
    </xf>
    <xf numFmtId="164" fontId="5" fillId="6" borderId="0" xfId="8" applyFont="1" applyFill="1" applyBorder="1"/>
    <xf numFmtId="1" fontId="5" fillId="7" borderId="0" xfId="13" applyNumberFormat="1" applyFont="1" applyFill="1" applyBorder="1" applyAlignment="1" applyProtection="1">
      <alignment horizontal="center"/>
    </xf>
    <xf numFmtId="3" fontId="5" fillId="3" borderId="0" xfId="0" applyFont="1" applyFill="1" applyBorder="1"/>
    <xf numFmtId="1" fontId="5" fillId="6" borderId="4" xfId="7" applyNumberFormat="1" applyFont="1" applyFill="1" applyBorder="1" applyAlignment="1">
      <alignment horizontal="center"/>
    </xf>
    <xf numFmtId="1" fontId="5" fillId="5" borderId="4" xfId="7" applyNumberFormat="1" applyFont="1" applyFill="1" applyBorder="1" applyAlignment="1">
      <alignment horizontal="center"/>
    </xf>
    <xf numFmtId="168" fontId="5" fillId="2" borderId="16" xfId="14" applyNumberFormat="1" applyFont="1" applyFill="1" applyBorder="1"/>
    <xf numFmtId="168" fontId="5" fillId="2" borderId="3" xfId="14" applyNumberFormat="1" applyFont="1" applyFill="1" applyBorder="1"/>
    <xf numFmtId="165" fontId="5" fillId="2" borderId="24" xfId="1" applyNumberFormat="1" applyFont="1" applyFill="1" applyBorder="1"/>
    <xf numFmtId="165" fontId="5" fillId="2" borderId="4" xfId="1" applyNumberFormat="1" applyFont="1" applyFill="1" applyBorder="1"/>
    <xf numFmtId="165" fontId="5" fillId="2" borderId="5" xfId="1" applyNumberFormat="1" applyFont="1" applyFill="1" applyBorder="1"/>
    <xf numFmtId="3" fontId="4" fillId="0" borderId="13" xfId="0" applyFont="1" applyFill="1" applyBorder="1" applyAlignment="1">
      <alignment horizontal="centerContinuous"/>
    </xf>
    <xf numFmtId="3" fontId="5" fillId="0" borderId="11" xfId="0" applyFont="1" applyFill="1" applyBorder="1" applyAlignment="1">
      <alignment horizontal="centerContinuous"/>
    </xf>
    <xf numFmtId="37" fontId="14" fillId="0" borderId="17" xfId="0" applyNumberFormat="1" applyFont="1" applyFill="1" applyBorder="1" applyAlignment="1" applyProtection="1">
      <alignment horizontal="right"/>
    </xf>
    <xf numFmtId="37" fontId="14" fillId="0" borderId="11" xfId="0" applyNumberFormat="1" applyFont="1" applyFill="1" applyBorder="1" applyAlignment="1" applyProtection="1">
      <alignment horizontal="right"/>
    </xf>
    <xf numFmtId="3" fontId="23" fillId="0" borderId="0" xfId="0" applyFont="1"/>
    <xf numFmtId="168" fontId="5" fillId="0" borderId="0" xfId="14" applyNumberFormat="1" applyFont="1"/>
    <xf numFmtId="3" fontId="5" fillId="4" borderId="3" xfId="0" applyFont="1" applyFill="1" applyBorder="1" applyAlignment="1">
      <alignment vertical="center"/>
    </xf>
    <xf numFmtId="3" fontId="5" fillId="4" borderId="0" xfId="0" applyFont="1" applyFill="1" applyBorder="1" applyAlignment="1">
      <alignment vertical="center"/>
    </xf>
    <xf numFmtId="3" fontId="5" fillId="4" borderId="7" xfId="0" applyFont="1" applyFill="1" applyBorder="1" applyAlignment="1">
      <alignment vertical="center"/>
    </xf>
    <xf numFmtId="3" fontId="5" fillId="4" borderId="0" xfId="0" applyFont="1" applyFill="1"/>
    <xf numFmtId="3" fontId="5" fillId="4" borderId="3" xfId="0" applyFont="1" applyFill="1" applyBorder="1"/>
    <xf numFmtId="3" fontId="19" fillId="0" borderId="0" xfId="0" applyFont="1"/>
    <xf numFmtId="37" fontId="5" fillId="0" borderId="0" xfId="0" applyNumberFormat="1" applyFont="1" applyFill="1" applyBorder="1" applyAlignment="1">
      <alignment horizontal="right"/>
    </xf>
    <xf numFmtId="3" fontId="6" fillId="0" borderId="0" xfId="0" applyFont="1" applyFill="1" applyAlignment="1">
      <alignment horizontal="centerContinuous"/>
    </xf>
    <xf numFmtId="3" fontId="8" fillId="0" borderId="0" xfId="0" applyFont="1" applyFill="1" applyAlignment="1">
      <alignment horizontal="centerContinuous"/>
    </xf>
    <xf numFmtId="3" fontId="5" fillId="0" borderId="0" xfId="0" applyFont="1" applyFill="1" applyAlignment="1">
      <alignment horizontal="centerContinuous"/>
    </xf>
    <xf numFmtId="3" fontId="5" fillId="0" borderId="0" xfId="0" applyNumberFormat="1" applyFont="1" applyFill="1"/>
    <xf numFmtId="3" fontId="4" fillId="0" borderId="13" xfId="0" applyFont="1" applyFill="1" applyBorder="1" applyAlignment="1">
      <alignment horizontal="center"/>
    </xf>
    <xf numFmtId="37" fontId="5" fillId="0" borderId="6" xfId="0" applyNumberFormat="1" applyFont="1" applyFill="1" applyBorder="1" applyAlignment="1">
      <alignment horizontal="right"/>
    </xf>
    <xf numFmtId="37" fontId="8" fillId="0" borderId="0" xfId="0" applyNumberFormat="1" applyFont="1" applyFill="1" applyAlignment="1" applyProtection="1">
      <alignment horizontal="centerContinuous"/>
    </xf>
    <xf numFmtId="37" fontId="14" fillId="0" borderId="13" xfId="0" applyNumberFormat="1" applyFont="1" applyFill="1" applyBorder="1" applyProtection="1"/>
    <xf numFmtId="3" fontId="5" fillId="0" borderId="0" xfId="1" applyNumberFormat="1" applyFont="1" applyFill="1" applyAlignment="1">
      <alignment horizontal="right"/>
    </xf>
    <xf numFmtId="3" fontId="5" fillId="0" borderId="0" xfId="1" applyNumberFormat="1" applyFont="1" applyFill="1" applyBorder="1" applyAlignment="1">
      <alignment horizontal="right"/>
    </xf>
    <xf numFmtId="3" fontId="5" fillId="0" borderId="3" xfId="1" applyNumberFormat="1" applyFont="1" applyFill="1" applyBorder="1" applyAlignment="1">
      <alignment horizontal="right"/>
    </xf>
    <xf numFmtId="37" fontId="12" fillId="0" borderId="0" xfId="0" applyNumberFormat="1" applyFont="1" applyFill="1" applyAlignment="1" applyProtection="1">
      <alignment horizontal="centerContinuous"/>
    </xf>
    <xf numFmtId="37" fontId="5" fillId="0" borderId="3" xfId="0" applyNumberFormat="1" applyFont="1" applyFill="1" applyBorder="1" applyAlignment="1">
      <alignment horizontal="right"/>
    </xf>
    <xf numFmtId="3" fontId="7" fillId="0" borderId="0" xfId="0" applyFont="1" applyFill="1" applyAlignment="1">
      <alignment horizontal="centerContinuous"/>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5" fillId="0" borderId="3" xfId="0" applyNumberFormat="1" applyFont="1" applyFill="1" applyBorder="1" applyAlignment="1">
      <alignment horizontal="right"/>
    </xf>
    <xf numFmtId="37" fontId="14" fillId="0" borderId="14" xfId="0" applyNumberFormat="1" applyFont="1" applyFill="1" applyBorder="1" applyAlignment="1" applyProtection="1">
      <alignment horizontal="center" wrapText="1"/>
    </xf>
    <xf numFmtId="3" fontId="5" fillId="0" borderId="0" xfId="0" applyFont="1" applyFill="1" applyBorder="1" applyAlignment="1">
      <alignment horizontal="right"/>
    </xf>
    <xf numFmtId="37" fontId="14" fillId="0" borderId="0" xfId="0" applyNumberFormat="1" applyFont="1" applyFill="1" applyBorder="1" applyAlignment="1" applyProtection="1">
      <alignment horizontal="right"/>
    </xf>
    <xf numFmtId="3" fontId="9" fillId="0" borderId="0" xfId="0" applyNumberFormat="1" applyFont="1" applyFill="1"/>
    <xf numFmtId="3" fontId="17" fillId="0" borderId="0" xfId="0" applyFont="1" applyFill="1"/>
    <xf numFmtId="3" fontId="5" fillId="4" borderId="16" xfId="0" applyFont="1" applyFill="1" applyBorder="1" applyAlignment="1">
      <alignment vertical="center"/>
    </xf>
    <xf numFmtId="3" fontId="20" fillId="0" borderId="0" xfId="0" applyFont="1"/>
    <xf numFmtId="3" fontId="25" fillId="0" borderId="13" xfId="0" applyFont="1" applyFill="1" applyBorder="1" applyAlignment="1">
      <alignment horizontal="center"/>
    </xf>
    <xf numFmtId="37" fontId="24" fillId="0" borderId="17" xfId="0" applyNumberFormat="1" applyFont="1" applyBorder="1" applyAlignment="1" applyProtection="1">
      <alignment horizontal="right"/>
    </xf>
    <xf numFmtId="37" fontId="24" fillId="0" borderId="11" xfId="0" applyNumberFormat="1" applyFont="1" applyBorder="1" applyAlignment="1" applyProtection="1">
      <alignment horizontal="right"/>
    </xf>
    <xf numFmtId="37" fontId="24" fillId="0" borderId="20" xfId="0" applyNumberFormat="1" applyFont="1" applyFill="1" applyBorder="1" applyAlignment="1" applyProtection="1">
      <alignment horizontal="right"/>
    </xf>
    <xf numFmtId="3" fontId="5" fillId="4" borderId="15" xfId="0" quotePrefix="1" applyFont="1" applyFill="1" applyBorder="1" applyAlignment="1">
      <alignment vertical="center"/>
    </xf>
    <xf numFmtId="3" fontId="5" fillId="4" borderId="0" xfId="0" quotePrefix="1" applyFont="1" applyFill="1" applyAlignment="1">
      <alignment vertical="center"/>
    </xf>
    <xf numFmtId="3" fontId="5" fillId="4" borderId="7" xfId="0" quotePrefix="1" applyFont="1" applyFill="1" applyBorder="1" applyAlignment="1">
      <alignment vertical="center"/>
    </xf>
    <xf numFmtId="3" fontId="5" fillId="4" borderId="0" xfId="0" quotePrefix="1" applyFont="1" applyFill="1" applyBorder="1" applyAlignment="1">
      <alignment vertical="center"/>
    </xf>
    <xf numFmtId="3" fontId="17" fillId="2" borderId="0" xfId="0" applyFont="1" applyFill="1"/>
    <xf numFmtId="0" fontId="5" fillId="0" borderId="0" xfId="11" applyNumberFormat="1" applyFont="1" applyFill="1" applyBorder="1" applyAlignment="1">
      <alignment horizontal="center"/>
    </xf>
    <xf numFmtId="3" fontId="5" fillId="2" borderId="15" xfId="10" applyNumberFormat="1" applyFont="1" applyFill="1" applyBorder="1" applyAlignment="1">
      <alignment horizontal="center"/>
    </xf>
    <xf numFmtId="3" fontId="17" fillId="0" borderId="4" xfId="10" applyNumberFormat="1" applyFont="1" applyFill="1" applyBorder="1" applyAlignment="1">
      <alignment horizontal="center"/>
    </xf>
    <xf numFmtId="1" fontId="5" fillId="4" borderId="0" xfId="10" applyNumberFormat="1" applyFont="1" applyFill="1" applyBorder="1" applyAlignment="1"/>
    <xf numFmtId="1" fontId="5" fillId="10" borderId="4" xfId="13" applyNumberFormat="1" applyFont="1" applyFill="1" applyBorder="1" applyAlignment="1" applyProtection="1">
      <alignment horizontal="center"/>
    </xf>
    <xf numFmtId="164" fontId="5" fillId="4" borderId="0" xfId="8" applyFont="1" applyFill="1" applyBorder="1"/>
    <xf numFmtId="1" fontId="5" fillId="4" borderId="4" xfId="7" applyNumberFormat="1" applyFont="1" applyFill="1" applyBorder="1" applyAlignment="1">
      <alignment horizontal="center"/>
    </xf>
    <xf numFmtId="1" fontId="5" fillId="10" borderId="0" xfId="13" applyNumberFormat="1" applyFont="1" applyFill="1" applyBorder="1" applyAlignment="1" applyProtection="1">
      <alignment horizontal="center"/>
    </xf>
    <xf numFmtId="1" fontId="5" fillId="4" borderId="0" xfId="7" applyNumberFormat="1" applyFont="1" applyFill="1" applyBorder="1" applyAlignment="1">
      <alignment horizontal="center"/>
    </xf>
    <xf numFmtId="3" fontId="5" fillId="4" borderId="0" xfId="10" applyFont="1" applyFill="1" applyBorder="1" applyAlignment="1"/>
    <xf numFmtId="3" fontId="5" fillId="4" borderId="0" xfId="10" applyFont="1" applyFill="1" applyBorder="1" applyAlignment="1" applyProtection="1"/>
    <xf numFmtId="0" fontId="5" fillId="4" borderId="0" xfId="10" applyNumberFormat="1" applyFont="1" applyFill="1" applyBorder="1" applyAlignment="1" applyProtection="1">
      <alignment horizontal="center"/>
    </xf>
    <xf numFmtId="164" fontId="5" fillId="4" borderId="0" xfId="7" applyFont="1" applyFill="1" applyBorder="1"/>
    <xf numFmtId="164" fontId="5" fillId="2" borderId="0" xfId="8" applyFont="1" applyFill="1" applyBorder="1"/>
    <xf numFmtId="0" fontId="5" fillId="2" borderId="0" xfId="8" applyNumberFormat="1" applyFont="1" applyFill="1" applyBorder="1" applyAlignment="1">
      <alignment horizontal="center"/>
    </xf>
    <xf numFmtId="1" fontId="5" fillId="2" borderId="0" xfId="7" applyNumberFormat="1" applyFont="1" applyFill="1" applyBorder="1" applyAlignment="1">
      <alignment horizontal="center"/>
    </xf>
    <xf numFmtId="3" fontId="5" fillId="2" borderId="0" xfId="4" applyFont="1" applyFill="1" applyBorder="1"/>
    <xf numFmtId="0" fontId="5" fillId="2" borderId="0" xfId="4" applyNumberFormat="1" applyFont="1" applyFill="1" applyBorder="1" applyAlignment="1">
      <alignment horizontal="center"/>
    </xf>
    <xf numFmtId="3" fontId="5" fillId="11" borderId="0" xfId="10" applyFont="1" applyFill="1" applyBorder="1" applyAlignment="1"/>
    <xf numFmtId="164" fontId="5" fillId="11" borderId="0" xfId="8" applyFont="1" applyFill="1" applyBorder="1"/>
    <xf numFmtId="1" fontId="5" fillId="12" borderId="4" xfId="13" applyNumberFormat="1" applyFont="1" applyFill="1" applyBorder="1" applyAlignment="1" applyProtection="1">
      <alignment horizontal="center"/>
    </xf>
    <xf numFmtId="1" fontId="5" fillId="12" borderId="0" xfId="13" applyNumberFormat="1" applyFont="1" applyFill="1" applyBorder="1" applyAlignment="1" applyProtection="1">
      <alignment horizontal="center"/>
    </xf>
    <xf numFmtId="0" fontId="5" fillId="5" borderId="0" xfId="8" applyNumberFormat="1" applyFont="1" applyFill="1" applyBorder="1" applyAlignment="1">
      <alignment horizontal="center"/>
    </xf>
    <xf numFmtId="1" fontId="5" fillId="5" borderId="0" xfId="7" applyNumberFormat="1" applyFont="1" applyFill="1" applyBorder="1" applyAlignment="1">
      <alignment horizontal="center"/>
    </xf>
    <xf numFmtId="165" fontId="5" fillId="11" borderId="0" xfId="1" applyNumberFormat="1" applyFont="1" applyFill="1" applyBorder="1" applyAlignment="1"/>
    <xf numFmtId="165" fontId="5" fillId="12" borderId="4" xfId="1" applyNumberFormat="1" applyFont="1" applyFill="1" applyBorder="1" applyAlignment="1" applyProtection="1">
      <alignment horizontal="center"/>
    </xf>
    <xf numFmtId="165" fontId="5" fillId="12" borderId="0" xfId="1" applyNumberFormat="1" applyFont="1" applyFill="1" applyBorder="1" applyAlignment="1" applyProtection="1">
      <alignment horizontal="center"/>
    </xf>
    <xf numFmtId="3" fontId="5" fillId="2" borderId="0" xfId="10" applyFont="1" applyFill="1" applyBorder="1" applyAlignment="1"/>
    <xf numFmtId="164" fontId="5" fillId="2" borderId="0" xfId="7" applyFont="1" applyFill="1" applyBorder="1" applyAlignment="1"/>
    <xf numFmtId="1" fontId="5" fillId="13" borderId="4" xfId="13" applyNumberFormat="1" applyFont="1" applyFill="1" applyBorder="1" applyAlignment="1" applyProtection="1">
      <alignment horizontal="center"/>
    </xf>
    <xf numFmtId="3" fontId="5" fillId="2" borderId="0" xfId="10" applyFont="1" applyFill="1" applyBorder="1" applyAlignment="1" applyProtection="1"/>
    <xf numFmtId="164" fontId="5" fillId="2" borderId="0" xfId="7" applyFont="1" applyFill="1" applyBorder="1"/>
    <xf numFmtId="1" fontId="5" fillId="13" borderId="0" xfId="13" applyNumberFormat="1" applyFont="1" applyFill="1" applyBorder="1" applyAlignment="1" applyProtection="1">
      <alignment horizontal="center"/>
    </xf>
    <xf numFmtId="3" fontId="5" fillId="14" borderId="0" xfId="10" applyFont="1" applyFill="1" applyBorder="1" applyAlignment="1"/>
    <xf numFmtId="164" fontId="5" fillId="14" borderId="0" xfId="8" applyFont="1" applyFill="1" applyBorder="1"/>
    <xf numFmtId="1" fontId="5" fillId="15" borderId="4" xfId="13" applyNumberFormat="1" applyFont="1" applyFill="1" applyBorder="1" applyAlignment="1" applyProtection="1">
      <alignment horizontal="center"/>
    </xf>
    <xf numFmtId="1" fontId="5" fillId="14" borderId="4" xfId="7" applyNumberFormat="1" applyFont="1" applyFill="1" applyBorder="1" applyAlignment="1">
      <alignment horizontal="center"/>
    </xf>
    <xf numFmtId="1" fontId="5" fillId="15" borderId="0" xfId="13" applyNumberFormat="1" applyFont="1" applyFill="1" applyBorder="1" applyAlignment="1" applyProtection="1">
      <alignment horizontal="center"/>
    </xf>
    <xf numFmtId="164" fontId="5" fillId="6" borderId="0" xfId="7" applyFont="1" applyFill="1" applyBorder="1"/>
    <xf numFmtId="164" fontId="5" fillId="6" borderId="0" xfId="7" applyFont="1" applyFill="1" applyBorder="1" applyAlignment="1"/>
    <xf numFmtId="3" fontId="5" fillId="11" borderId="0" xfId="10" applyFont="1" applyFill="1" applyBorder="1" applyAlignment="1" applyProtection="1"/>
    <xf numFmtId="0" fontId="5" fillId="11" borderId="0" xfId="10" applyNumberFormat="1" applyFont="1" applyFill="1" applyBorder="1" applyAlignment="1" applyProtection="1">
      <alignment horizontal="center"/>
    </xf>
    <xf numFmtId="164" fontId="5" fillId="11" borderId="0" xfId="7" applyFont="1" applyFill="1" applyBorder="1"/>
    <xf numFmtId="3" fontId="5" fillId="2" borderId="0" xfId="10" applyFont="1" applyFill="1" applyBorder="1"/>
    <xf numFmtId="164" fontId="5" fillId="2" borderId="0" xfId="8" applyFont="1" applyFill="1" applyBorder="1" applyAlignment="1">
      <alignment horizontal="left"/>
    </xf>
    <xf numFmtId="3" fontId="5" fillId="16" borderId="0" xfId="10" applyFont="1" applyFill="1" applyBorder="1" applyAlignment="1"/>
    <xf numFmtId="1" fontId="5" fillId="17" borderId="0" xfId="13" applyNumberFormat="1" applyFont="1" applyFill="1" applyBorder="1" applyAlignment="1" applyProtection="1">
      <alignment horizontal="center"/>
    </xf>
    <xf numFmtId="164" fontId="5" fillId="16" borderId="0" xfId="8" applyFont="1" applyFill="1" applyBorder="1"/>
    <xf numFmtId="1" fontId="5" fillId="17" borderId="4" xfId="13" applyNumberFormat="1" applyFont="1" applyFill="1" applyBorder="1" applyAlignment="1" applyProtection="1">
      <alignment horizontal="center"/>
    </xf>
    <xf numFmtId="0" fontId="5" fillId="6" borderId="0" xfId="8" applyNumberFormat="1" applyFont="1" applyFill="1" applyBorder="1" applyAlignment="1">
      <alignment horizontal="center"/>
    </xf>
    <xf numFmtId="0" fontId="5" fillId="6" borderId="0" xfId="10" applyNumberFormat="1" applyFont="1" applyFill="1" applyBorder="1" applyAlignment="1">
      <alignment horizontal="center"/>
    </xf>
    <xf numFmtId="3" fontId="5" fillId="16" borderId="0" xfId="10" applyFont="1" applyFill="1" applyBorder="1" applyAlignment="1" applyProtection="1"/>
    <xf numFmtId="164" fontId="5" fillId="4" borderId="0" xfId="8" applyFont="1" applyFill="1" applyBorder="1" applyAlignment="1"/>
    <xf numFmtId="164" fontId="5" fillId="4" borderId="0" xfId="12" applyFont="1" applyFill="1" applyBorder="1" applyAlignment="1" applyProtection="1"/>
    <xf numFmtId="3" fontId="5" fillId="3" borderId="0" xfId="10" applyFont="1" applyFill="1" applyBorder="1" applyAlignment="1"/>
    <xf numFmtId="3" fontId="5" fillId="18" borderId="0" xfId="10" applyFont="1" applyFill="1" applyBorder="1" applyAlignment="1"/>
    <xf numFmtId="3" fontId="5" fillId="19" borderId="0" xfId="10" applyFont="1" applyFill="1" applyBorder="1" applyAlignment="1"/>
    <xf numFmtId="0" fontId="5" fillId="6" borderId="0" xfId="10" applyNumberFormat="1" applyFont="1" applyFill="1" applyBorder="1" applyAlignment="1" applyProtection="1">
      <alignment horizontal="center"/>
    </xf>
    <xf numFmtId="0" fontId="5" fillId="2" borderId="0" xfId="10" applyNumberFormat="1" applyFont="1" applyFill="1" applyBorder="1" applyAlignment="1" applyProtection="1">
      <alignment horizontal="center"/>
    </xf>
    <xf numFmtId="0" fontId="5" fillId="4" borderId="0" xfId="7" applyNumberFormat="1" applyFont="1" applyFill="1" applyBorder="1" applyAlignment="1">
      <alignment horizontal="center"/>
    </xf>
    <xf numFmtId="0" fontId="5" fillId="11" borderId="0" xfId="7" applyNumberFormat="1" applyFont="1" applyFill="1" applyBorder="1" applyAlignment="1">
      <alignment horizontal="center"/>
    </xf>
    <xf numFmtId="0" fontId="5" fillId="8" borderId="0" xfId="10" applyNumberFormat="1" applyFont="1" applyFill="1" applyBorder="1" applyAlignment="1" applyProtection="1">
      <alignment horizontal="center"/>
    </xf>
    <xf numFmtId="0" fontId="5" fillId="8" borderId="0" xfId="7" applyNumberFormat="1" applyFont="1" applyFill="1" applyBorder="1" applyAlignment="1">
      <alignment horizontal="center"/>
    </xf>
    <xf numFmtId="0" fontId="5" fillId="2" borderId="0" xfId="10" applyNumberFormat="1" applyFont="1" applyFill="1" applyBorder="1" applyAlignment="1">
      <alignment horizontal="center"/>
    </xf>
    <xf numFmtId="0" fontId="5" fillId="14" borderId="0" xfId="10" applyNumberFormat="1" applyFont="1" applyFill="1" applyBorder="1" applyAlignment="1">
      <alignment horizontal="center"/>
    </xf>
    <xf numFmtId="0" fontId="5" fillId="14" borderId="0" xfId="8" applyNumberFormat="1" applyFont="1" applyFill="1" applyBorder="1" applyAlignment="1">
      <alignment horizontal="center"/>
    </xf>
    <xf numFmtId="0" fontId="5" fillId="16" borderId="0" xfId="10" applyNumberFormat="1" applyFont="1" applyFill="1" applyBorder="1" applyAlignment="1">
      <alignment horizontal="center"/>
    </xf>
    <xf numFmtId="0" fontId="5" fillId="16" borderId="0" xfId="8" applyNumberFormat="1" applyFont="1" applyFill="1" applyBorder="1" applyAlignment="1">
      <alignment horizontal="center"/>
    </xf>
    <xf numFmtId="0" fontId="5" fillId="4" borderId="0" xfId="10" applyNumberFormat="1" applyFont="1" applyFill="1" applyBorder="1" applyAlignment="1">
      <alignment horizontal="center"/>
    </xf>
    <xf numFmtId="0" fontId="5" fillId="4" borderId="0" xfId="8" applyNumberFormat="1" applyFont="1" applyFill="1" applyBorder="1" applyAlignment="1">
      <alignment horizontal="center"/>
    </xf>
    <xf numFmtId="0" fontId="5" fillId="5" borderId="0" xfId="10" applyNumberFormat="1" applyFont="1" applyFill="1" applyBorder="1" applyAlignment="1">
      <alignment horizontal="center"/>
    </xf>
    <xf numFmtId="0" fontId="5" fillId="8" borderId="0" xfId="10" applyNumberFormat="1" applyFont="1" applyFill="1" applyBorder="1" applyAlignment="1">
      <alignment horizontal="center"/>
    </xf>
    <xf numFmtId="0" fontId="5" fillId="16" borderId="0" xfId="10" applyNumberFormat="1" applyFont="1" applyFill="1" applyBorder="1" applyAlignment="1" applyProtection="1">
      <alignment horizontal="center"/>
    </xf>
    <xf numFmtId="0" fontId="5" fillId="20" borderId="0" xfId="10" applyNumberFormat="1" applyFont="1" applyFill="1" applyBorder="1" applyAlignment="1">
      <alignment horizontal="center"/>
    </xf>
    <xf numFmtId="0" fontId="5" fillId="11" borderId="0" xfId="1" applyNumberFormat="1" applyFont="1" applyFill="1" applyBorder="1" applyAlignment="1">
      <alignment horizontal="center"/>
    </xf>
    <xf numFmtId="37" fontId="8" fillId="0" borderId="0" xfId="0" applyNumberFormat="1" applyFont="1" applyAlignment="1" applyProtection="1">
      <alignment horizontal="center"/>
    </xf>
    <xf numFmtId="3" fontId="17" fillId="4" borderId="0" xfId="0" applyFont="1" applyFill="1"/>
    <xf numFmtId="3" fontId="13" fillId="4" borderId="0" xfId="0" applyFont="1" applyFill="1"/>
    <xf numFmtId="37" fontId="14" fillId="4" borderId="13" xfId="0" applyNumberFormat="1" applyFont="1" applyFill="1" applyBorder="1" applyAlignment="1" applyProtection="1">
      <alignment horizontal="centerContinuous"/>
    </xf>
    <xf numFmtId="3" fontId="4" fillId="4" borderId="11" xfId="0" applyFont="1" applyFill="1" applyBorder="1" applyAlignment="1">
      <alignment horizontal="centerContinuous"/>
    </xf>
    <xf numFmtId="37" fontId="14" fillId="4" borderId="25" xfId="0" applyNumberFormat="1" applyFont="1" applyFill="1" applyBorder="1" applyAlignment="1" applyProtection="1">
      <alignment horizontal="centerContinuous"/>
    </xf>
    <xf numFmtId="3" fontId="4" fillId="4" borderId="13" xfId="0" applyFont="1" applyFill="1" applyBorder="1" applyAlignment="1">
      <alignment horizontal="centerContinuous"/>
    </xf>
    <xf numFmtId="3" fontId="5" fillId="4" borderId="13" xfId="0" applyFont="1" applyFill="1" applyBorder="1" applyAlignment="1">
      <alignment horizontal="centerContinuous"/>
    </xf>
    <xf numFmtId="3" fontId="5" fillId="4" borderId="11" xfId="0" applyFont="1" applyFill="1" applyBorder="1" applyAlignment="1">
      <alignment horizontal="centerContinuous"/>
    </xf>
    <xf numFmtId="37" fontId="14" fillId="4" borderId="17" xfId="0" applyNumberFormat="1" applyFont="1" applyFill="1" applyBorder="1" applyAlignment="1" applyProtection="1">
      <alignment horizontal="center" wrapText="1"/>
    </xf>
    <xf numFmtId="37" fontId="14" fillId="4" borderId="17" xfId="0" applyNumberFormat="1" applyFont="1" applyFill="1" applyBorder="1" applyAlignment="1" applyProtection="1">
      <alignment horizontal="right"/>
    </xf>
    <xf numFmtId="37" fontId="14" fillId="4" borderId="26" xfId="0" applyNumberFormat="1" applyFont="1" applyFill="1" applyBorder="1" applyAlignment="1" applyProtection="1">
      <alignment horizontal="center" wrapText="1"/>
    </xf>
    <xf numFmtId="37" fontId="14" fillId="4" borderId="11" xfId="0" applyNumberFormat="1" applyFont="1" applyFill="1" applyBorder="1" applyAlignment="1" applyProtection="1">
      <alignment horizontal="right"/>
    </xf>
    <xf numFmtId="3" fontId="5" fillId="4" borderId="0" xfId="0" applyFont="1" applyFill="1" applyBorder="1"/>
    <xf numFmtId="3" fontId="19" fillId="4" borderId="0" xfId="0" applyFont="1" applyFill="1"/>
    <xf numFmtId="3" fontId="20" fillId="0" borderId="0" xfId="0" applyFont="1" applyFill="1"/>
    <xf numFmtId="37" fontId="24" fillId="0" borderId="13" xfId="0" applyNumberFormat="1" applyFont="1" applyFill="1" applyBorder="1" applyAlignment="1" applyProtection="1">
      <alignment horizontal="centerContinuous"/>
    </xf>
    <xf numFmtId="3" fontId="25" fillId="0" borderId="11" xfId="0" applyFont="1" applyFill="1" applyBorder="1" applyAlignment="1">
      <alignment horizontal="centerContinuous"/>
    </xf>
    <xf numFmtId="37" fontId="24" fillId="0" borderId="25" xfId="0" applyNumberFormat="1" applyFont="1" applyFill="1" applyBorder="1" applyAlignment="1" applyProtection="1">
      <alignment horizontal="centerContinuous"/>
    </xf>
    <xf numFmtId="3" fontId="25" fillId="0" borderId="13" xfId="0" applyFont="1" applyFill="1" applyBorder="1" applyAlignment="1">
      <alignment horizontal="centerContinuous"/>
    </xf>
    <xf numFmtId="3" fontId="20" fillId="0" borderId="13" xfId="0" applyFont="1" applyFill="1" applyBorder="1" applyAlignment="1">
      <alignment horizontal="centerContinuous"/>
    </xf>
    <xf numFmtId="3" fontId="20" fillId="0" borderId="11" xfId="0" applyFont="1" applyFill="1" applyBorder="1" applyAlignment="1">
      <alignment horizontal="centerContinuous"/>
    </xf>
    <xf numFmtId="37" fontId="24" fillId="0" borderId="17" xfId="0" applyNumberFormat="1" applyFont="1" applyFill="1" applyBorder="1" applyAlignment="1" applyProtection="1">
      <alignment horizontal="center" wrapText="1"/>
    </xf>
    <xf numFmtId="37" fontId="24" fillId="0" borderId="17" xfId="0" applyNumberFormat="1" applyFont="1" applyFill="1" applyBorder="1" applyAlignment="1" applyProtection="1">
      <alignment horizontal="right"/>
    </xf>
    <xf numFmtId="37" fontId="24" fillId="0" borderId="26" xfId="0" applyNumberFormat="1" applyFont="1" applyFill="1" applyBorder="1" applyAlignment="1" applyProtection="1">
      <alignment horizontal="center" wrapText="1"/>
    </xf>
    <xf numFmtId="37" fontId="24" fillId="0" borderId="11" xfId="0" applyNumberFormat="1" applyFont="1" applyFill="1" applyBorder="1" applyAlignment="1" applyProtection="1">
      <alignment horizontal="right"/>
    </xf>
    <xf numFmtId="3" fontId="20" fillId="0" borderId="3" xfId="0" applyFont="1" applyFill="1" applyBorder="1"/>
    <xf numFmtId="3" fontId="20" fillId="0" borderId="0" xfId="0" applyNumberFormat="1" applyFont="1" applyAlignment="1">
      <alignment horizontal="right"/>
    </xf>
    <xf numFmtId="3" fontId="20" fillId="0" borderId="4" xfId="0" applyNumberFormat="1" applyFont="1" applyBorder="1" applyAlignment="1">
      <alignment horizontal="right"/>
    </xf>
    <xf numFmtId="3" fontId="20" fillId="0" borderId="0" xfId="0" applyNumberFormat="1" applyFont="1" applyFill="1" applyAlignment="1">
      <alignment horizontal="right"/>
    </xf>
    <xf numFmtId="3" fontId="20" fillId="0" borderId="0" xfId="0" applyNumberFormat="1" applyFont="1" applyBorder="1" applyAlignment="1">
      <alignment horizontal="right"/>
    </xf>
    <xf numFmtId="3" fontId="20" fillId="0" borderId="7" xfId="0" applyFont="1" applyBorder="1"/>
    <xf numFmtId="3" fontId="20" fillId="0" borderId="0" xfId="0" applyNumberFormat="1" applyFont="1" applyFill="1" applyBorder="1" applyAlignment="1">
      <alignment horizontal="right"/>
    </xf>
    <xf numFmtId="3" fontId="20" fillId="0" borderId="3" xfId="0" applyNumberFormat="1" applyFont="1" applyBorder="1" applyAlignment="1">
      <alignment horizontal="right"/>
    </xf>
    <xf numFmtId="3" fontId="20" fillId="0" borderId="3" xfId="0" applyNumberFormat="1" applyFont="1" applyFill="1" applyBorder="1" applyAlignment="1">
      <alignment horizontal="right"/>
    </xf>
    <xf numFmtId="3" fontId="18" fillId="0" borderId="0" xfId="0" applyFont="1"/>
    <xf numFmtId="3" fontId="13" fillId="21" borderId="0" xfId="11" applyFont="1" applyFill="1" applyBorder="1" applyAlignment="1">
      <alignment horizontal="center"/>
    </xf>
    <xf numFmtId="0" fontId="13" fillId="21" borderId="0" xfId="11" applyNumberFormat="1" applyFont="1" applyFill="1" applyBorder="1" applyAlignment="1" applyProtection="1">
      <alignment horizontal="center"/>
    </xf>
    <xf numFmtId="3" fontId="5" fillId="0" borderId="14" xfId="11" applyFont="1" applyFill="1" applyBorder="1" applyAlignment="1">
      <alignment horizontal="center"/>
    </xf>
    <xf numFmtId="1" fontId="18" fillId="0" borderId="0" xfId="5" applyNumberFormat="1" applyFont="1" applyFill="1" applyBorder="1" applyAlignment="1">
      <alignment horizontal="left" wrapText="1"/>
    </xf>
    <xf numFmtId="0" fontId="5" fillId="0" borderId="14" xfId="11" applyNumberFormat="1" applyFont="1" applyFill="1" applyBorder="1" applyAlignment="1" applyProtection="1">
      <alignment horizontal="center"/>
    </xf>
    <xf numFmtId="3" fontId="5" fillId="0" borderId="14" xfId="11" applyFont="1" applyFill="1" applyBorder="1" applyAlignment="1" applyProtection="1">
      <alignment horizontal="center"/>
    </xf>
    <xf numFmtId="37" fontId="5" fillId="2" borderId="14" xfId="11" applyNumberFormat="1" applyFont="1" applyFill="1" applyBorder="1" applyAlignment="1" applyProtection="1">
      <alignment horizontal="center"/>
    </xf>
    <xf numFmtId="37" fontId="17" fillId="0" borderId="14" xfId="11" applyNumberFormat="1" applyFont="1" applyFill="1" applyBorder="1" applyAlignment="1" applyProtection="1">
      <alignment horizontal="center"/>
    </xf>
    <xf numFmtId="3" fontId="13" fillId="0" borderId="21" xfId="11" applyFont="1" applyFill="1" applyBorder="1"/>
    <xf numFmtId="37" fontId="17" fillId="3" borderId="6" xfId="11" applyNumberFormat="1" applyFont="1" applyFill="1" applyBorder="1" applyAlignment="1" applyProtection="1">
      <alignment horizontal="left"/>
    </xf>
    <xf numFmtId="37" fontId="18" fillId="0" borderId="14" xfId="11" applyNumberFormat="1" applyFont="1" applyFill="1" applyBorder="1" applyAlignment="1" applyProtection="1">
      <alignment horizontal="center"/>
    </xf>
    <xf numFmtId="37" fontId="17" fillId="3" borderId="14" xfId="11" applyNumberFormat="1" applyFont="1" applyFill="1" applyBorder="1" applyAlignment="1" applyProtection="1">
      <alignment horizontal="left"/>
    </xf>
    <xf numFmtId="37" fontId="17" fillId="3" borderId="27" xfId="11" applyNumberFormat="1" applyFont="1" applyFill="1" applyBorder="1" applyAlignment="1" applyProtection="1">
      <alignment horizontal="left"/>
    </xf>
    <xf numFmtId="37" fontId="18" fillId="3" borderId="14" xfId="11" applyNumberFormat="1" applyFont="1" applyFill="1" applyBorder="1" applyAlignment="1" applyProtection="1">
      <alignment horizontal="centerContinuous"/>
    </xf>
    <xf numFmtId="0" fontId="5" fillId="21" borderId="6" xfId="11" applyNumberFormat="1" applyFont="1" applyFill="1" applyBorder="1" applyAlignment="1" applyProtection="1">
      <alignment horizontal="center"/>
    </xf>
    <xf numFmtId="3" fontId="13" fillId="21" borderId="4" xfId="11" applyFont="1" applyFill="1" applyBorder="1" applyAlignment="1" applyProtection="1">
      <alignment horizontal="center"/>
    </xf>
    <xf numFmtId="37" fontId="5" fillId="2" borderId="15" xfId="11" applyNumberFormat="1" applyFont="1" applyFill="1" applyBorder="1" applyAlignment="1" applyProtection="1">
      <alignment horizontal="center"/>
    </xf>
    <xf numFmtId="37" fontId="17" fillId="0" borderId="4" xfId="11" applyNumberFormat="1" applyFont="1" applyFill="1" applyBorder="1" applyAlignment="1" applyProtection="1">
      <alignment horizontal="center"/>
    </xf>
    <xf numFmtId="37" fontId="5" fillId="2" borderId="15" xfId="10" applyNumberFormat="1" applyFont="1" applyFill="1" applyBorder="1" applyAlignment="1" applyProtection="1">
      <alignment horizontal="center"/>
    </xf>
    <xf numFmtId="37" fontId="17" fillId="0" borderId="6" xfId="10" applyNumberFormat="1" applyFont="1" applyFill="1" applyBorder="1" applyAlignment="1" applyProtection="1">
      <alignment horizontal="center"/>
    </xf>
    <xf numFmtId="37" fontId="5" fillId="5" borderId="28" xfId="10" applyNumberFormat="1" applyFont="1" applyFill="1" applyBorder="1" applyAlignment="1" applyProtection="1">
      <alignment horizontal="center"/>
    </xf>
    <xf numFmtId="37" fontId="20" fillId="0" borderId="6" xfId="10" applyNumberFormat="1" applyFont="1" applyFill="1" applyBorder="1" applyAlignment="1" applyProtection="1">
      <alignment horizontal="center" wrapText="1"/>
    </xf>
    <xf numFmtId="37" fontId="17" fillId="3" borderId="28" xfId="10" applyNumberFormat="1" applyFont="1" applyFill="1" applyBorder="1" applyAlignment="1" applyProtection="1">
      <alignment horizontal="center"/>
    </xf>
    <xf numFmtId="37" fontId="17" fillId="3" borderId="6" xfId="10" applyNumberFormat="1" applyFont="1" applyFill="1" applyBorder="1" applyAlignment="1" applyProtection="1">
      <alignment horizontal="center"/>
    </xf>
    <xf numFmtId="37" fontId="17" fillId="3" borderId="4" xfId="10" applyNumberFormat="1" applyFont="1" applyFill="1" applyBorder="1" applyAlignment="1" applyProtection="1">
      <alignment horizontal="center"/>
    </xf>
    <xf numFmtId="37" fontId="5" fillId="5" borderId="6" xfId="10" applyNumberFormat="1" applyFont="1" applyFill="1" applyBorder="1" applyAlignment="1" applyProtection="1">
      <alignment horizontal="center"/>
    </xf>
    <xf numFmtId="37" fontId="5" fillId="5" borderId="29" xfId="10" applyNumberFormat="1" applyFont="1" applyFill="1" applyBorder="1" applyAlignment="1" applyProtection="1">
      <alignment horizontal="center" wrapText="1"/>
    </xf>
    <xf numFmtId="37" fontId="17" fillId="3" borderId="6" xfId="10" applyNumberFormat="1" applyFont="1" applyFill="1" applyBorder="1" applyAlignment="1" applyProtection="1">
      <alignment horizontal="center" wrapText="1"/>
    </xf>
    <xf numFmtId="0" fontId="13" fillId="21" borderId="3" xfId="11" applyNumberFormat="1" applyFont="1" applyFill="1" applyBorder="1" applyAlignment="1" applyProtection="1">
      <alignment horizontal="left"/>
    </xf>
    <xf numFmtId="0" fontId="13" fillId="21" borderId="3" xfId="11" applyNumberFormat="1" applyFont="1" applyFill="1" applyBorder="1" applyAlignment="1" applyProtection="1">
      <alignment horizontal="center"/>
    </xf>
    <xf numFmtId="0" fontId="13" fillId="21" borderId="5" xfId="11" applyNumberFormat="1" applyFont="1" applyFill="1" applyBorder="1" applyAlignment="1" applyProtection="1">
      <alignment horizontal="center"/>
    </xf>
    <xf numFmtId="0" fontId="5" fillId="2" borderId="16" xfId="11" applyNumberFormat="1" applyFont="1" applyFill="1" applyBorder="1" applyAlignment="1" applyProtection="1">
      <alignment horizontal="center"/>
    </xf>
    <xf numFmtId="0" fontId="17" fillId="0" borderId="5" xfId="11" applyNumberFormat="1" applyFont="1" applyFill="1" applyBorder="1" applyAlignment="1" applyProtection="1">
      <alignment horizontal="center"/>
    </xf>
    <xf numFmtId="0" fontId="5" fillId="2" borderId="16" xfId="10" applyNumberFormat="1" applyFont="1" applyFill="1" applyBorder="1" applyAlignment="1" applyProtection="1">
      <alignment horizontal="center"/>
    </xf>
    <xf numFmtId="0" fontId="17" fillId="0" borderId="3" xfId="10" applyNumberFormat="1" applyFont="1" applyFill="1" applyBorder="1" applyAlignment="1" applyProtection="1">
      <alignment horizontal="center"/>
    </xf>
    <xf numFmtId="0" fontId="5" fillId="5" borderId="16" xfId="10" applyNumberFormat="1" applyFont="1" applyFill="1" applyBorder="1" applyAlignment="1" applyProtection="1">
      <alignment horizontal="center"/>
    </xf>
    <xf numFmtId="0" fontId="5" fillId="5" borderId="5" xfId="10" applyNumberFormat="1" applyFont="1" applyFill="1" applyBorder="1" applyAlignment="1" applyProtection="1">
      <alignment horizontal="center"/>
    </xf>
    <xf numFmtId="0" fontId="17" fillId="3" borderId="16" xfId="10" applyNumberFormat="1" applyFont="1" applyFill="1" applyBorder="1" applyAlignment="1" applyProtection="1">
      <alignment horizontal="center"/>
    </xf>
    <xf numFmtId="0" fontId="17" fillId="3" borderId="3" xfId="10" applyNumberFormat="1" applyFont="1" applyFill="1" applyBorder="1" applyAlignment="1" applyProtection="1">
      <alignment horizontal="center"/>
    </xf>
    <xf numFmtId="0" fontId="5" fillId="5" borderId="3" xfId="10" applyNumberFormat="1" applyFont="1" applyFill="1" applyBorder="1" applyAlignment="1" applyProtection="1">
      <alignment horizontal="center"/>
    </xf>
    <xf numFmtId="0" fontId="17" fillId="3" borderId="5" xfId="10" applyNumberFormat="1" applyFont="1" applyFill="1" applyBorder="1" applyAlignment="1" applyProtection="1">
      <alignment horizontal="center"/>
    </xf>
    <xf numFmtId="0" fontId="5" fillId="5" borderId="30" xfId="10" applyNumberFormat="1" applyFont="1" applyFill="1" applyBorder="1" applyAlignment="1" applyProtection="1">
      <alignment horizontal="center"/>
    </xf>
    <xf numFmtId="3" fontId="5" fillId="22" borderId="0" xfId="5" applyFont="1" applyFill="1" applyBorder="1" applyAlignment="1" applyProtection="1">
      <alignment wrapText="1"/>
    </xf>
    <xf numFmtId="0" fontId="5" fillId="22" borderId="0" xfId="5" applyNumberFormat="1" applyFont="1" applyFill="1" applyBorder="1" applyAlignment="1" applyProtection="1">
      <alignment horizontal="center" wrapText="1"/>
    </xf>
    <xf numFmtId="3" fontId="5" fillId="22" borderId="0" xfId="5" applyFont="1" applyFill="1" applyBorder="1" applyAlignment="1" applyProtection="1">
      <alignment horizontal="center" wrapText="1"/>
    </xf>
    <xf numFmtId="37" fontId="5" fillId="22" borderId="0" xfId="5" applyNumberFormat="1" applyFont="1" applyFill="1" applyBorder="1" applyAlignment="1" applyProtection="1">
      <alignment horizontal="center" wrapText="1"/>
    </xf>
    <xf numFmtId="3" fontId="5" fillId="22" borderId="0" xfId="5" applyFont="1" applyFill="1" applyBorder="1" applyAlignment="1">
      <alignment wrapText="1"/>
    </xf>
    <xf numFmtId="3" fontId="5" fillId="22" borderId="31" xfId="5" applyFont="1" applyFill="1" applyBorder="1" applyAlignment="1">
      <alignment horizontal="center" wrapText="1"/>
    </xf>
    <xf numFmtId="3" fontId="5" fillId="22" borderId="0" xfId="5" applyFont="1" applyFill="1" applyBorder="1" applyAlignment="1">
      <alignment horizontal="center" wrapText="1"/>
    </xf>
    <xf numFmtId="3" fontId="5" fillId="0" borderId="0" xfId="5" applyFont="1" applyFill="1" applyBorder="1" applyAlignment="1">
      <alignment wrapText="1"/>
    </xf>
    <xf numFmtId="3" fontId="17" fillId="0" borderId="4" xfId="5" applyFont="1" applyFill="1" applyBorder="1" applyAlignment="1">
      <alignment horizontal="right"/>
    </xf>
    <xf numFmtId="3" fontId="5" fillId="5" borderId="15" xfId="10" applyNumberFormat="1" applyFont="1" applyFill="1" applyBorder="1" applyAlignment="1"/>
    <xf numFmtId="3" fontId="17" fillId="3" borderId="15" xfId="10" applyNumberFormat="1" applyFont="1" applyFill="1" applyBorder="1" applyAlignment="1"/>
    <xf numFmtId="3" fontId="5" fillId="5" borderId="15" xfId="10" applyNumberFormat="1" applyFont="1" applyFill="1" applyBorder="1" applyAlignment="1">
      <alignment horizontal="left" indent="1"/>
    </xf>
    <xf numFmtId="3" fontId="5" fillId="5" borderId="31" xfId="10" applyNumberFormat="1" applyFont="1" applyFill="1" applyBorder="1" applyAlignment="1"/>
    <xf numFmtId="3" fontId="5" fillId="0" borderId="0" xfId="5" applyFont="1" applyFill="1" applyBorder="1"/>
    <xf numFmtId="3" fontId="17" fillId="0" borderId="0" xfId="5" applyFont="1" applyFill="1" applyBorder="1"/>
    <xf numFmtId="37" fontId="17" fillId="0" borderId="4" xfId="0" applyNumberFormat="1" applyFont="1" applyBorder="1"/>
    <xf numFmtId="3" fontId="5" fillId="0" borderId="4" xfId="3" applyNumberFormat="1" applyFont="1" applyFill="1" applyBorder="1"/>
    <xf numFmtId="3" fontId="5" fillId="0" borderId="4" xfId="2" applyNumberFormat="1" applyFont="1" applyBorder="1"/>
    <xf numFmtId="3" fontId="5" fillId="0" borderId="4" xfId="3" applyNumberFormat="1" applyFont="1" applyBorder="1"/>
    <xf numFmtId="3" fontId="5" fillId="22" borderId="15" xfId="10" applyNumberFormat="1" applyFont="1" applyFill="1" applyBorder="1" applyAlignment="1"/>
    <xf numFmtId="165" fontId="13" fillId="11" borderId="0" xfId="1" applyNumberFormat="1" applyFont="1" applyFill="1" applyBorder="1" applyAlignment="1"/>
    <xf numFmtId="0" fontId="5" fillId="0" borderId="0" xfId="5" applyNumberFormat="1" applyFont="1" applyFill="1" applyBorder="1" applyAlignment="1">
      <alignment horizontal="center"/>
    </xf>
    <xf numFmtId="3" fontId="5" fillId="0" borderId="0" xfId="5" applyFont="1" applyFill="1" applyBorder="1" applyAlignment="1">
      <alignment horizontal="center"/>
    </xf>
    <xf numFmtId="3" fontId="16" fillId="0" borderId="0" xfId="5" applyFont="1" applyFill="1" applyBorder="1" applyAlignment="1">
      <alignment horizontal="center"/>
    </xf>
    <xf numFmtId="3" fontId="17" fillId="0" borderId="0" xfId="5" applyFont="1" applyFill="1" applyBorder="1" applyAlignment="1">
      <alignment horizontal="center"/>
    </xf>
    <xf numFmtId="3" fontId="16" fillId="0" borderId="0" xfId="5" applyFont="1" applyFill="1" applyBorder="1"/>
    <xf numFmtId="1" fontId="5" fillId="0" borderId="0" xfId="10" applyNumberFormat="1" applyFont="1" applyFill="1" applyBorder="1" applyAlignment="1"/>
    <xf numFmtId="164" fontId="5" fillId="14" borderId="0" xfId="8" applyFont="1" applyFill="1" applyBorder="1" applyAlignment="1"/>
    <xf numFmtId="0" fontId="5" fillId="11" borderId="0" xfId="10" applyNumberFormat="1" applyFont="1" applyFill="1" applyBorder="1" applyAlignment="1">
      <alignment horizontal="center"/>
    </xf>
    <xf numFmtId="0" fontId="5" fillId="11" borderId="0" xfId="8" applyNumberFormat="1" applyFont="1" applyFill="1" applyBorder="1" applyAlignment="1">
      <alignment horizontal="center"/>
    </xf>
    <xf numFmtId="1" fontId="5" fillId="11" borderId="0" xfId="7" applyNumberFormat="1" applyFont="1" applyFill="1" applyBorder="1" applyAlignment="1">
      <alignment horizontal="center"/>
    </xf>
    <xf numFmtId="1" fontId="5" fillId="2" borderId="4" xfId="7" applyNumberFormat="1" applyFont="1" applyFill="1" applyBorder="1" applyAlignment="1">
      <alignment horizontal="center"/>
    </xf>
    <xf numFmtId="1" fontId="5" fillId="6" borderId="0" xfId="7" applyNumberFormat="1" applyFont="1" applyFill="1" applyBorder="1" applyAlignment="1">
      <alignment horizontal="center"/>
    </xf>
    <xf numFmtId="1" fontId="5" fillId="14" borderId="0" xfId="7" applyNumberFormat="1" applyFont="1" applyFill="1" applyBorder="1" applyAlignment="1">
      <alignment horizontal="center"/>
    </xf>
    <xf numFmtId="1" fontId="5" fillId="8" borderId="0" xfId="7" applyNumberFormat="1" applyFont="1" applyFill="1" applyBorder="1" applyAlignment="1">
      <alignment horizontal="center"/>
    </xf>
    <xf numFmtId="3" fontId="17" fillId="0" borderId="0" xfId="5" applyFont="1" applyFill="1" applyBorder="1" applyAlignment="1">
      <alignment horizontal="right"/>
    </xf>
    <xf numFmtId="3" fontId="17" fillId="0" borderId="4" xfId="0" applyNumberFormat="1" applyFont="1" applyBorder="1" applyAlignment="1">
      <alignment horizontal="right"/>
    </xf>
    <xf numFmtId="3" fontId="5" fillId="0" borderId="4" xfId="0" applyNumberFormat="1" applyFont="1" applyBorder="1"/>
    <xf numFmtId="3" fontId="17" fillId="0" borderId="4" xfId="5" applyFont="1" applyFill="1" applyBorder="1"/>
    <xf numFmtId="164" fontId="5" fillId="16" borderId="0" xfId="7" applyFont="1" applyFill="1" applyBorder="1" applyAlignment="1"/>
    <xf numFmtId="0" fontId="5" fillId="16" borderId="0" xfId="11" applyNumberFormat="1" applyFont="1" applyFill="1" applyBorder="1" applyAlignment="1"/>
    <xf numFmtId="0" fontId="5" fillId="16" borderId="0" xfId="11" applyNumberFormat="1" applyFont="1" applyFill="1" applyBorder="1" applyAlignment="1">
      <alignment horizontal="center"/>
    </xf>
    <xf numFmtId="1" fontId="5" fillId="16" borderId="4" xfId="7" applyNumberFormat="1" applyFont="1" applyFill="1" applyBorder="1" applyAlignment="1" applyProtection="1">
      <alignment horizontal="center"/>
    </xf>
    <xf numFmtId="1" fontId="5" fillId="16" borderId="0" xfId="7" applyNumberFormat="1" applyFont="1" applyFill="1" applyBorder="1" applyAlignment="1" applyProtection="1">
      <alignment horizontal="center"/>
    </xf>
    <xf numFmtId="1" fontId="5" fillId="16" borderId="4" xfId="7" applyNumberFormat="1" applyFont="1" applyFill="1" applyBorder="1" applyAlignment="1">
      <alignment horizontal="center"/>
    </xf>
    <xf numFmtId="1" fontId="5" fillId="23" borderId="4" xfId="13" applyNumberFormat="1" applyFont="1" applyFill="1" applyBorder="1" applyAlignment="1" applyProtection="1">
      <alignment horizontal="center"/>
    </xf>
    <xf numFmtId="1" fontId="5" fillId="23" borderId="0" xfId="13" applyNumberFormat="1" applyFont="1" applyFill="1" applyBorder="1" applyAlignment="1" applyProtection="1">
      <alignment horizontal="center"/>
    </xf>
    <xf numFmtId="1" fontId="5" fillId="11" borderId="4" xfId="7" applyNumberFormat="1" applyFont="1" applyFill="1" applyBorder="1" applyAlignment="1">
      <alignment horizontal="center"/>
    </xf>
    <xf numFmtId="3" fontId="17" fillId="0" borderId="4" xfId="5" applyNumberFormat="1" applyFont="1" applyFill="1" applyBorder="1" applyAlignment="1">
      <alignment horizontal="right"/>
    </xf>
    <xf numFmtId="49" fontId="5" fillId="6" borderId="0" xfId="7" applyNumberFormat="1" applyFont="1" applyFill="1" applyBorder="1" applyAlignment="1">
      <alignment horizontal="left"/>
    </xf>
    <xf numFmtId="164" fontId="19" fillId="2" borderId="0" xfId="7" applyFont="1" applyFill="1" applyBorder="1"/>
    <xf numFmtId="49" fontId="5" fillId="2" borderId="0" xfId="7" applyNumberFormat="1" applyFont="1" applyFill="1" applyBorder="1" applyAlignment="1">
      <alignment horizontal="center"/>
    </xf>
    <xf numFmtId="1" fontId="19" fillId="2" borderId="0" xfId="7" applyNumberFormat="1" applyFont="1" applyFill="1" applyBorder="1" applyAlignment="1">
      <alignment horizontal="center"/>
    </xf>
    <xf numFmtId="49" fontId="5" fillId="4" borderId="0" xfId="7" applyNumberFormat="1" applyFont="1" applyFill="1" applyBorder="1" applyAlignment="1">
      <alignment horizontal="left"/>
    </xf>
    <xf numFmtId="49" fontId="19" fillId="4" borderId="0" xfId="7" applyNumberFormat="1" applyFont="1" applyFill="1" applyBorder="1" applyAlignment="1">
      <alignment horizontal="left"/>
    </xf>
    <xf numFmtId="49" fontId="5" fillId="4" borderId="0" xfId="7" applyNumberFormat="1" applyFont="1" applyFill="1" applyBorder="1" applyAlignment="1">
      <alignment horizontal="center"/>
    </xf>
    <xf numFmtId="1" fontId="19" fillId="4" borderId="0" xfId="7" applyNumberFormat="1" applyFont="1" applyFill="1" applyBorder="1" applyAlignment="1">
      <alignment horizontal="center"/>
    </xf>
    <xf numFmtId="3" fontId="19" fillId="11" borderId="0" xfId="10" applyFont="1" applyFill="1" applyBorder="1" applyAlignment="1" applyProtection="1"/>
    <xf numFmtId="49" fontId="5" fillId="11" borderId="0" xfId="10" applyNumberFormat="1" applyFont="1" applyFill="1" applyBorder="1" applyAlignment="1" applyProtection="1">
      <alignment horizontal="center"/>
    </xf>
    <xf numFmtId="1" fontId="19" fillId="12" borderId="0" xfId="13" applyNumberFormat="1" applyFont="1" applyFill="1" applyBorder="1" applyAlignment="1" applyProtection="1">
      <alignment horizontal="center"/>
    </xf>
    <xf numFmtId="49" fontId="5" fillId="11" borderId="0" xfId="7" applyNumberFormat="1" applyFont="1" applyFill="1" applyBorder="1" applyAlignment="1">
      <alignment horizontal="center"/>
    </xf>
    <xf numFmtId="49" fontId="5" fillId="8" borderId="0" xfId="7" applyNumberFormat="1" applyFont="1" applyFill="1" applyBorder="1" applyAlignment="1">
      <alignment horizontal="left"/>
    </xf>
    <xf numFmtId="3" fontId="19" fillId="8" borderId="0" xfId="10" applyFont="1" applyFill="1" applyBorder="1" applyAlignment="1" applyProtection="1"/>
    <xf numFmtId="49" fontId="5" fillId="8" borderId="0" xfId="10" applyNumberFormat="1" applyFont="1" applyFill="1" applyBorder="1" applyAlignment="1" applyProtection="1">
      <alignment horizontal="center"/>
    </xf>
    <xf numFmtId="1" fontId="19" fillId="9" borderId="0" xfId="13" applyNumberFormat="1" applyFont="1" applyFill="1" applyBorder="1" applyAlignment="1" applyProtection="1">
      <alignment horizontal="center"/>
    </xf>
    <xf numFmtId="49" fontId="19" fillId="2" borderId="0" xfId="8" applyNumberFormat="1" applyFont="1" applyFill="1" applyBorder="1" applyAlignment="1">
      <alignment horizontal="left"/>
    </xf>
    <xf numFmtId="49" fontId="5" fillId="2" borderId="0" xfId="8" applyNumberFormat="1" applyFont="1" applyFill="1" applyBorder="1" applyAlignment="1">
      <alignment horizontal="center"/>
    </xf>
    <xf numFmtId="49" fontId="5" fillId="2" borderId="0" xfId="8" applyNumberFormat="1" applyFont="1" applyFill="1" applyBorder="1" applyAlignment="1">
      <alignment horizontal="left"/>
    </xf>
    <xf numFmtId="3" fontId="19" fillId="2" borderId="0" xfId="10" applyFont="1" applyFill="1" applyBorder="1"/>
    <xf numFmtId="49" fontId="5" fillId="2" borderId="0" xfId="10" applyNumberFormat="1" applyFont="1" applyFill="1" applyBorder="1" applyAlignment="1">
      <alignment horizontal="center"/>
    </xf>
    <xf numFmtId="1" fontId="19" fillId="13" borderId="0" xfId="13" applyNumberFormat="1" applyFont="1" applyFill="1" applyBorder="1" applyAlignment="1" applyProtection="1">
      <alignment horizontal="center"/>
    </xf>
    <xf numFmtId="49" fontId="5" fillId="2" borderId="0" xfId="10" applyNumberFormat="1" applyFont="1" applyFill="1" applyBorder="1" applyAlignment="1">
      <alignment horizontal="left"/>
    </xf>
    <xf numFmtId="49" fontId="5" fillId="14" borderId="0" xfId="8" applyNumberFormat="1" applyFont="1" applyFill="1" applyBorder="1" applyAlignment="1">
      <alignment horizontal="center"/>
    </xf>
    <xf numFmtId="49" fontId="5" fillId="14" borderId="0" xfId="8" applyNumberFormat="1" applyFont="1" applyFill="1" applyBorder="1" applyAlignment="1">
      <alignment horizontal="left"/>
    </xf>
    <xf numFmtId="49" fontId="19" fillId="16" borderId="0" xfId="8" applyNumberFormat="1" applyFont="1" applyFill="1" applyBorder="1" applyAlignment="1">
      <alignment horizontal="left"/>
    </xf>
    <xf numFmtId="49" fontId="5" fillId="16" borderId="0" xfId="8" applyNumberFormat="1" applyFont="1" applyFill="1" applyBorder="1" applyAlignment="1">
      <alignment horizontal="center"/>
    </xf>
    <xf numFmtId="49" fontId="5" fillId="4" borderId="0" xfId="8" applyNumberFormat="1" applyFont="1" applyFill="1" applyBorder="1" applyAlignment="1">
      <alignment horizontal="left"/>
    </xf>
    <xf numFmtId="49" fontId="5" fillId="5" borderId="0" xfId="8" applyNumberFormat="1" applyFont="1" applyFill="1" applyBorder="1" applyAlignment="1">
      <alignment horizontal="left"/>
    </xf>
    <xf numFmtId="3" fontId="19" fillId="8" borderId="0" xfId="10" applyFont="1" applyFill="1" applyBorder="1" applyAlignment="1"/>
    <xf numFmtId="49" fontId="5" fillId="8" borderId="0" xfId="10" applyNumberFormat="1" applyFont="1" applyFill="1" applyBorder="1" applyAlignment="1">
      <alignment horizontal="center"/>
    </xf>
    <xf numFmtId="49" fontId="5" fillId="6" borderId="0" xfId="8" applyNumberFormat="1" applyFont="1" applyFill="1" applyBorder="1" applyAlignment="1">
      <alignment horizontal="center"/>
    </xf>
    <xf numFmtId="49" fontId="5" fillId="6" borderId="0" xfId="8" applyNumberFormat="1" applyFont="1" applyFill="1" applyBorder="1" applyAlignment="1">
      <alignment horizontal="left"/>
    </xf>
    <xf numFmtId="3" fontId="19" fillId="6" borderId="0" xfId="10" applyFont="1" applyFill="1" applyBorder="1" applyAlignment="1"/>
    <xf numFmtId="49" fontId="5" fillId="6" borderId="0" xfId="10" applyNumberFormat="1" applyFont="1" applyFill="1" applyBorder="1" applyAlignment="1">
      <alignment horizontal="center"/>
    </xf>
    <xf numFmtId="1" fontId="19" fillId="7" borderId="0" xfId="13" applyNumberFormat="1" applyFont="1" applyFill="1" applyBorder="1" applyAlignment="1" applyProtection="1">
      <alignment horizontal="center"/>
    </xf>
    <xf numFmtId="49" fontId="5" fillId="16" borderId="0" xfId="8" applyNumberFormat="1" applyFont="1" applyFill="1" applyBorder="1" applyAlignment="1">
      <alignment horizontal="left"/>
    </xf>
    <xf numFmtId="49" fontId="19" fillId="4" borderId="0" xfId="8" applyNumberFormat="1" applyFont="1" applyFill="1" applyBorder="1" applyAlignment="1">
      <alignment horizontal="left"/>
    </xf>
    <xf numFmtId="49" fontId="5" fillId="4" borderId="0" xfId="8" applyNumberFormat="1" applyFont="1" applyFill="1" applyBorder="1" applyAlignment="1">
      <alignment horizontal="center"/>
    </xf>
    <xf numFmtId="49" fontId="5" fillId="11" borderId="0" xfId="8" applyNumberFormat="1" applyFont="1" applyFill="1" applyBorder="1" applyAlignment="1">
      <alignment horizontal="center"/>
    </xf>
    <xf numFmtId="49" fontId="5" fillId="11" borderId="0" xfId="8" applyNumberFormat="1" applyFont="1" applyFill="1" applyBorder="1" applyAlignment="1">
      <alignment horizontal="left"/>
    </xf>
    <xf numFmtId="164" fontId="19" fillId="11" borderId="0" xfId="8" applyFont="1" applyFill="1" applyBorder="1"/>
    <xf numFmtId="49" fontId="5" fillId="5" borderId="0" xfId="12" applyNumberFormat="1" applyFont="1" applyFill="1" applyBorder="1" applyAlignment="1" applyProtection="1">
      <alignment horizontal="left"/>
    </xf>
    <xf numFmtId="1" fontId="19" fillId="2" borderId="4" xfId="7" applyNumberFormat="1" applyFont="1" applyFill="1" applyBorder="1" applyAlignment="1">
      <alignment horizontal="center"/>
    </xf>
    <xf numFmtId="1" fontId="19" fillId="12" borderId="4" xfId="13" applyNumberFormat="1" applyFont="1" applyFill="1" applyBorder="1" applyAlignment="1" applyProtection="1">
      <alignment horizontal="center"/>
    </xf>
    <xf numFmtId="1" fontId="19" fillId="13" borderId="4" xfId="13" applyNumberFormat="1" applyFont="1" applyFill="1" applyBorder="1" applyAlignment="1" applyProtection="1">
      <alignment horizontal="center"/>
    </xf>
    <xf numFmtId="1" fontId="5" fillId="16" borderId="0" xfId="7" applyNumberFormat="1" applyFont="1" applyFill="1" applyBorder="1" applyAlignment="1">
      <alignment horizontal="center"/>
    </xf>
    <xf numFmtId="1" fontId="19" fillId="16" borderId="4" xfId="7" applyNumberFormat="1" applyFont="1" applyFill="1" applyBorder="1" applyAlignment="1">
      <alignment horizontal="center"/>
    </xf>
    <xf numFmtId="1" fontId="19" fillId="9" borderId="4" xfId="13" applyNumberFormat="1" applyFont="1" applyFill="1" applyBorder="1" applyAlignment="1" applyProtection="1">
      <alignment horizontal="center"/>
    </xf>
    <xf numFmtId="0" fontId="19" fillId="4" borderId="4" xfId="7" applyNumberFormat="1" applyFont="1" applyFill="1" applyBorder="1" applyAlignment="1">
      <alignment horizontal="center"/>
    </xf>
    <xf numFmtId="1" fontId="19" fillId="11" borderId="4" xfId="7" applyNumberFormat="1" applyFont="1" applyFill="1" applyBorder="1" applyAlignment="1">
      <alignment horizontal="center"/>
    </xf>
    <xf numFmtId="0" fontId="5" fillId="0" borderId="4" xfId="6" applyNumberFormat="1" applyFont="1" applyBorder="1"/>
    <xf numFmtId="3" fontId="5" fillId="0" borderId="0" xfId="5" applyFont="1" applyBorder="1"/>
    <xf numFmtId="37" fontId="9" fillId="0" borderId="0" xfId="0" applyNumberFormat="1" applyFont="1" applyBorder="1" applyAlignment="1" applyProtection="1">
      <alignment horizontal="left" vertical="top" wrapText="1"/>
    </xf>
    <xf numFmtId="37" fontId="12" fillId="0" borderId="0" xfId="0" applyNumberFormat="1" applyFont="1" applyAlignment="1" applyProtection="1">
      <alignment horizontal="center"/>
    </xf>
    <xf numFmtId="3" fontId="29" fillId="8" borderId="0" xfId="10" applyFont="1" applyFill="1" applyBorder="1" applyAlignment="1" applyProtection="1"/>
    <xf numFmtId="1" fontId="29" fillId="9" borderId="4" xfId="13" applyNumberFormat="1" applyFont="1" applyFill="1" applyBorder="1" applyAlignment="1" applyProtection="1">
      <alignment horizontal="center"/>
    </xf>
    <xf numFmtId="3" fontId="4" fillId="0" borderId="17" xfId="0" applyFont="1" applyFill="1" applyBorder="1" applyAlignment="1">
      <alignment horizontal="center"/>
    </xf>
    <xf numFmtId="37" fontId="14" fillId="0" borderId="14" xfId="0" applyNumberFormat="1" applyFont="1" applyBorder="1" applyAlignment="1" applyProtection="1">
      <alignment horizontal="center" wrapText="1"/>
    </xf>
    <xf numFmtId="168" fontId="5" fillId="0" borderId="0" xfId="14" applyNumberFormat="1" applyFont="1" applyBorder="1" applyAlignment="1">
      <alignment horizontal="right"/>
    </xf>
    <xf numFmtId="168" fontId="5" fillId="0" borderId="3" xfId="14" applyNumberFormat="1" applyFont="1" applyBorder="1" applyAlignment="1">
      <alignment horizontal="right"/>
    </xf>
    <xf numFmtId="49" fontId="0" fillId="0" borderId="0" xfId="0" applyNumberFormat="1" applyFill="1" applyAlignment="1">
      <alignment horizontal="right"/>
    </xf>
    <xf numFmtId="3" fontId="5" fillId="0" borderId="0" xfId="0" applyFont="1" applyFill="1" applyBorder="1" applyAlignment="1">
      <alignment horizontal="centerContinuous"/>
    </xf>
    <xf numFmtId="3" fontId="5" fillId="0" borderId="3" xfId="0" applyNumberFormat="1" applyFont="1" applyBorder="1"/>
    <xf numFmtId="37" fontId="14" fillId="0" borderId="32" xfId="0" applyNumberFormat="1" applyFont="1" applyBorder="1" applyAlignment="1" applyProtection="1">
      <alignment horizontal="right"/>
    </xf>
    <xf numFmtId="3" fontId="5" fillId="0" borderId="15" xfId="0" applyNumberFormat="1" applyFont="1" applyBorder="1" applyAlignment="1">
      <alignment horizontal="right"/>
    </xf>
    <xf numFmtId="3" fontId="5" fillId="0" borderId="16" xfId="0" applyNumberFormat="1" applyFont="1" applyBorder="1" applyAlignment="1">
      <alignment horizontal="right"/>
    </xf>
    <xf numFmtId="3" fontId="5" fillId="0" borderId="15" xfId="0" applyNumberFormat="1" applyFont="1" applyFill="1" applyBorder="1" applyAlignment="1">
      <alignment horizontal="right"/>
    </xf>
    <xf numFmtId="3" fontId="5" fillId="0" borderId="15" xfId="0" applyFont="1" applyFill="1" applyBorder="1"/>
    <xf numFmtId="3" fontId="5" fillId="0" borderId="16" xfId="0" applyNumberFormat="1" applyFont="1" applyFill="1" applyBorder="1" applyAlignment="1">
      <alignment horizontal="right"/>
    </xf>
    <xf numFmtId="37" fontId="12" fillId="0" borderId="0" xfId="0" applyNumberFormat="1" applyFont="1" applyFill="1" applyAlignment="1" applyProtection="1">
      <alignment horizontal="center"/>
    </xf>
    <xf numFmtId="37" fontId="12" fillId="0" borderId="0" xfId="0" applyNumberFormat="1" applyFont="1" applyFill="1" applyBorder="1" applyAlignment="1" applyProtection="1">
      <alignment horizontal="center"/>
    </xf>
    <xf numFmtId="37" fontId="24" fillId="0" borderId="11" xfId="0" applyNumberFormat="1" applyFont="1" applyBorder="1" applyAlignment="1" applyProtection="1">
      <alignment horizontal="center"/>
    </xf>
    <xf numFmtId="3" fontId="25" fillId="0" borderId="11" xfId="0" applyFont="1" applyBorder="1" applyAlignment="1">
      <alignment horizontal="center"/>
    </xf>
    <xf numFmtId="3" fontId="5" fillId="0" borderId="18" xfId="0" applyFont="1" applyBorder="1"/>
    <xf numFmtId="3" fontId="30" fillId="0" borderId="0" xfId="0" applyFont="1"/>
    <xf numFmtId="3" fontId="5" fillId="0" borderId="7" xfId="0" applyNumberFormat="1" applyFont="1" applyBorder="1"/>
    <xf numFmtId="3" fontId="13" fillId="0" borderId="2" xfId="0" applyFont="1" applyBorder="1"/>
    <xf numFmtId="3" fontId="5" fillId="0" borderId="18" xfId="0" applyNumberFormat="1" applyFont="1" applyBorder="1"/>
    <xf numFmtId="3" fontId="5" fillId="0" borderId="13" xfId="0" applyNumberFormat="1" applyFont="1" applyBorder="1"/>
    <xf numFmtId="3" fontId="5" fillId="0" borderId="33" xfId="0" applyFont="1" applyBorder="1"/>
    <xf numFmtId="3" fontId="5" fillId="0" borderId="18" xfId="0" pivotButton="1" applyFont="1" applyBorder="1"/>
    <xf numFmtId="3" fontId="5" fillId="0" borderId="33" xfId="0" pivotButton="1" applyFont="1" applyBorder="1"/>
    <xf numFmtId="3" fontId="5" fillId="0" borderId="34" xfId="0" applyFont="1" applyBorder="1"/>
    <xf numFmtId="3" fontId="5" fillId="0" borderId="2" xfId="0" applyFont="1" applyBorder="1"/>
    <xf numFmtId="3" fontId="5" fillId="0" borderId="35" xfId="0" applyFont="1" applyBorder="1"/>
    <xf numFmtId="3" fontId="5" fillId="0" borderId="36" xfId="0" applyFont="1" applyBorder="1"/>
    <xf numFmtId="3" fontId="5" fillId="0" borderId="13" xfId="0" applyFont="1" applyBorder="1"/>
    <xf numFmtId="3" fontId="5" fillId="0" borderId="37" xfId="0" applyFont="1" applyBorder="1"/>
    <xf numFmtId="3" fontId="13" fillId="0" borderId="18" xfId="0" applyFont="1" applyBorder="1"/>
    <xf numFmtId="3" fontId="5" fillId="0" borderId="38" xfId="0" applyNumberFormat="1" applyFont="1" applyBorder="1"/>
    <xf numFmtId="3" fontId="13" fillId="0" borderId="39" xfId="0" applyFont="1" applyBorder="1"/>
    <xf numFmtId="3" fontId="5" fillId="0" borderId="36" xfId="0" applyNumberFormat="1" applyFont="1" applyBorder="1"/>
    <xf numFmtId="37" fontId="5" fillId="0" borderId="15" xfId="0" applyNumberFormat="1" applyFont="1" applyBorder="1" applyAlignment="1">
      <alignment horizontal="right"/>
    </xf>
    <xf numFmtId="37" fontId="5" fillId="0" borderId="16" xfId="0" applyNumberFormat="1" applyFont="1" applyBorder="1" applyAlignment="1">
      <alignment horizontal="right"/>
    </xf>
    <xf numFmtId="37" fontId="13" fillId="0" borderId="14" xfId="0" applyNumberFormat="1" applyFont="1" applyBorder="1" applyAlignment="1" applyProtection="1">
      <alignment horizontal="center"/>
    </xf>
    <xf numFmtId="37" fontId="14" fillId="0" borderId="17" xfId="0" applyNumberFormat="1" applyFont="1" applyBorder="1" applyAlignment="1" applyProtection="1">
      <alignment horizontal="centerContinuous"/>
    </xf>
    <xf numFmtId="37" fontId="14" fillId="0" borderId="32" xfId="0" applyNumberFormat="1" applyFont="1" applyBorder="1" applyAlignment="1" applyProtection="1">
      <alignment horizontal="centerContinuous"/>
    </xf>
    <xf numFmtId="3" fontId="5" fillId="0" borderId="0" xfId="0" applyNumberFormat="1" applyFont="1" applyFill="1" applyBorder="1"/>
    <xf numFmtId="37" fontId="14" fillId="0" borderId="14" xfId="0" applyNumberFormat="1" applyFont="1" applyFill="1" applyBorder="1" applyAlignment="1" applyProtection="1">
      <alignment horizontal="centerContinuous" wrapText="1"/>
    </xf>
    <xf numFmtId="3" fontId="9" fillId="0" borderId="0" xfId="0" applyNumberFormat="1" applyFont="1" applyFill="1" applyBorder="1"/>
    <xf numFmtId="37" fontId="14" fillId="0" borderId="14" xfId="0" applyNumberFormat="1" applyFont="1" applyBorder="1" applyAlignment="1" applyProtection="1">
      <alignment horizontal="center"/>
    </xf>
    <xf numFmtId="37" fontId="14" fillId="0" borderId="21" xfId="0" applyNumberFormat="1" applyFont="1" applyBorder="1" applyAlignment="1" applyProtection="1">
      <alignment horizontal="center"/>
    </xf>
    <xf numFmtId="37" fontId="8" fillId="0" borderId="0" xfId="0" applyNumberFormat="1" applyFont="1" applyAlignment="1" applyProtection="1">
      <alignment horizontal="left"/>
    </xf>
    <xf numFmtId="3" fontId="5" fillId="0" borderId="0" xfId="0" applyFont="1" applyAlignment="1">
      <alignment horizontal="left"/>
    </xf>
    <xf numFmtId="3" fontId="8" fillId="0" borderId="0" xfId="0" applyFont="1" applyFill="1" applyBorder="1" applyAlignment="1">
      <alignment horizontal="centerContinuous"/>
    </xf>
    <xf numFmtId="37" fontId="8" fillId="0" borderId="0" xfId="0" applyNumberFormat="1" applyFont="1" applyFill="1" applyBorder="1" applyAlignment="1" applyProtection="1">
      <alignment horizontal="center"/>
    </xf>
    <xf numFmtId="37" fontId="9" fillId="0" borderId="0" xfId="0" applyNumberFormat="1" applyFont="1" applyFill="1" applyBorder="1" applyAlignment="1" applyProtection="1">
      <alignment horizontal="left" vertical="top" wrapText="1"/>
    </xf>
    <xf numFmtId="49" fontId="3" fillId="0" borderId="0" xfId="0" quotePrefix="1" applyNumberFormat="1" applyFont="1" applyFill="1" applyBorder="1" applyAlignment="1">
      <alignment horizontal="right"/>
    </xf>
    <xf numFmtId="3" fontId="7" fillId="0" borderId="0" xfId="0" applyFont="1" applyFill="1" applyBorder="1" applyAlignment="1">
      <alignment horizontal="centerContinuous"/>
    </xf>
    <xf numFmtId="37" fontId="24" fillId="0" borderId="0" xfId="0" applyNumberFormat="1" applyFont="1" applyFill="1" applyBorder="1" applyAlignment="1" applyProtection="1">
      <alignment horizontal="center" wrapText="1"/>
    </xf>
    <xf numFmtId="37" fontId="24" fillId="0" borderId="0" xfId="0" applyNumberFormat="1" applyFont="1" applyFill="1" applyBorder="1" applyAlignment="1" applyProtection="1">
      <alignment horizontal="right"/>
    </xf>
    <xf numFmtId="37" fontId="14" fillId="4" borderId="0" xfId="0" applyNumberFormat="1" applyFont="1" applyFill="1" applyBorder="1" applyAlignment="1" applyProtection="1">
      <alignment horizontal="center" wrapText="1"/>
    </xf>
    <xf numFmtId="37" fontId="14" fillId="4" borderId="0" xfId="0" applyNumberFormat="1" applyFont="1" applyFill="1" applyBorder="1" applyAlignment="1" applyProtection="1">
      <alignment horizontal="right"/>
    </xf>
    <xf numFmtId="3" fontId="5" fillId="0" borderId="3" xfId="0" applyNumberFormat="1" applyFont="1" applyFill="1" applyBorder="1"/>
    <xf numFmtId="37" fontId="13" fillId="0" borderId="3" xfId="0" applyNumberFormat="1" applyFont="1" applyBorder="1" applyAlignment="1" applyProtection="1">
      <alignment horizontal="center"/>
    </xf>
    <xf numFmtId="37" fontId="14" fillId="0" borderId="3" xfId="0" applyNumberFormat="1" applyFont="1" applyBorder="1" applyAlignment="1" applyProtection="1">
      <alignment horizontal="center" wrapText="1"/>
    </xf>
    <xf numFmtId="37" fontId="14" fillId="0" borderId="16" xfId="0" applyNumberFormat="1" applyFont="1" applyBorder="1" applyAlignment="1" applyProtection="1">
      <alignment horizontal="center" wrapText="1"/>
    </xf>
    <xf numFmtId="37" fontId="14" fillId="0" borderId="21" xfId="0" applyNumberFormat="1" applyFont="1" applyBorder="1" applyAlignment="1" applyProtection="1">
      <alignment horizontal="right"/>
    </xf>
    <xf numFmtId="37" fontId="14" fillId="0" borderId="40" xfId="0" applyNumberFormat="1" applyFont="1" applyBorder="1" applyAlignment="1" applyProtection="1">
      <alignment horizontal="center" wrapText="1"/>
    </xf>
    <xf numFmtId="37" fontId="5" fillId="0" borderId="0" xfId="0" quotePrefix="1" applyNumberFormat="1" applyFont="1" applyAlignment="1">
      <alignment horizontal="right"/>
    </xf>
    <xf numFmtId="37" fontId="5" fillId="0" borderId="15" xfId="0" quotePrefix="1" applyNumberFormat="1" applyFont="1" applyBorder="1" applyAlignment="1">
      <alignment horizontal="right"/>
    </xf>
    <xf numFmtId="37" fontId="5" fillId="0" borderId="0" xfId="0" quotePrefix="1" applyNumberFormat="1" applyFont="1" applyAlignment="1">
      <alignment horizontal="left"/>
    </xf>
    <xf numFmtId="168" fontId="5" fillId="0" borderId="0" xfId="14" applyNumberFormat="1" applyFont="1" applyBorder="1"/>
    <xf numFmtId="10" fontId="5" fillId="0" borderId="0" xfId="14" applyNumberFormat="1" applyFont="1" applyBorder="1" applyAlignment="1">
      <alignment horizontal="right"/>
    </xf>
    <xf numFmtId="168" fontId="5" fillId="0" borderId="0" xfId="14" applyNumberFormat="1" applyFont="1" applyAlignment="1">
      <alignment vertical="center"/>
    </xf>
    <xf numFmtId="168" fontId="5" fillId="0" borderId="3" xfId="14" applyNumberFormat="1" applyFont="1" applyBorder="1"/>
    <xf numFmtId="3" fontId="31" fillId="18" borderId="0" xfId="10" applyFont="1" applyFill="1" applyBorder="1" applyAlignment="1"/>
    <xf numFmtId="0" fontId="23" fillId="4" borderId="0" xfId="10" applyNumberFormat="1" applyFont="1" applyFill="1" applyBorder="1" applyAlignment="1">
      <alignment horizontal="center"/>
    </xf>
    <xf numFmtId="1" fontId="23" fillId="10" borderId="4" xfId="13" applyNumberFormat="1" applyFont="1" applyFill="1" applyBorder="1" applyAlignment="1" applyProtection="1">
      <alignment horizontal="center"/>
    </xf>
    <xf numFmtId="3" fontId="23" fillId="2" borderId="15" xfId="10" applyNumberFormat="1" applyFont="1" applyFill="1" applyBorder="1" applyAlignment="1">
      <alignment horizontal="center"/>
    </xf>
    <xf numFmtId="3" fontId="31" fillId="0" borderId="4" xfId="10" applyNumberFormat="1" applyFont="1" applyFill="1" applyBorder="1" applyAlignment="1">
      <alignment horizontal="center"/>
    </xf>
    <xf numFmtId="3" fontId="23" fillId="2" borderId="15" xfId="10" applyNumberFormat="1" applyFont="1" applyFill="1" applyBorder="1" applyAlignment="1"/>
    <xf numFmtId="3" fontId="31" fillId="0" borderId="4" xfId="5" applyFont="1" applyFill="1" applyBorder="1" applyAlignment="1">
      <alignment horizontal="right"/>
    </xf>
    <xf numFmtId="3" fontId="23" fillId="5" borderId="15" xfId="10" applyNumberFormat="1" applyFont="1" applyFill="1" applyBorder="1" applyAlignment="1"/>
    <xf numFmtId="3" fontId="23" fillId="5" borderId="0" xfId="10" applyNumberFormat="1" applyFont="1" applyFill="1" applyBorder="1" applyAlignment="1"/>
    <xf numFmtId="3" fontId="31" fillId="3" borderId="15" xfId="10" applyNumberFormat="1" applyFont="1" applyFill="1" applyBorder="1" applyAlignment="1"/>
    <xf numFmtId="3" fontId="31" fillId="3" borderId="0" xfId="10" applyNumberFormat="1" applyFont="1" applyFill="1" applyBorder="1" applyAlignment="1"/>
    <xf numFmtId="3" fontId="23" fillId="5" borderId="15" xfId="10" applyNumberFormat="1" applyFont="1" applyFill="1" applyBorder="1" applyAlignment="1">
      <alignment horizontal="left" indent="1"/>
    </xf>
    <xf numFmtId="3" fontId="23" fillId="5" borderId="31" xfId="10" applyNumberFormat="1" applyFont="1" applyFill="1" applyBorder="1" applyAlignment="1"/>
    <xf numFmtId="3" fontId="31" fillId="3" borderId="0" xfId="10" applyFont="1" applyFill="1" applyBorder="1" applyAlignment="1"/>
    <xf numFmtId="3" fontId="31" fillId="19" borderId="0" xfId="10" applyFont="1" applyFill="1" applyBorder="1" applyAlignment="1"/>
    <xf numFmtId="3" fontId="13" fillId="0" borderId="14" xfId="11" applyFont="1" applyFill="1" applyBorder="1"/>
    <xf numFmtId="49" fontId="31" fillId="11" borderId="0" xfId="8" applyNumberFormat="1" applyFont="1" applyFill="1" applyBorder="1" applyAlignment="1">
      <alignment horizontal="left"/>
    </xf>
    <xf numFmtId="3" fontId="30" fillId="0" borderId="0" xfId="0" applyFont="1" applyFill="1" applyBorder="1"/>
    <xf numFmtId="3" fontId="30" fillId="0" borderId="0" xfId="0" applyFont="1" applyFill="1" applyAlignment="1"/>
    <xf numFmtId="3" fontId="30" fillId="0" borderId="4" xfId="0" applyFont="1" applyFill="1" applyBorder="1"/>
    <xf numFmtId="3" fontId="30" fillId="0" borderId="0" xfId="0" applyFont="1" applyFill="1"/>
    <xf numFmtId="3" fontId="30" fillId="0" borderId="9" xfId="0" applyFont="1" applyFill="1" applyBorder="1"/>
    <xf numFmtId="165" fontId="5" fillId="0" borderId="0" xfId="0" applyNumberFormat="1" applyFont="1" applyFill="1" applyBorder="1"/>
    <xf numFmtId="166" fontId="32" fillId="0" borderId="0" xfId="0" applyNumberFormat="1" applyFont="1" applyFill="1" applyBorder="1" applyAlignment="1"/>
    <xf numFmtId="165" fontId="19" fillId="12" borderId="4" xfId="1" applyNumberFormat="1" applyFont="1" applyFill="1" applyBorder="1" applyAlignment="1" applyProtection="1">
      <alignment horizontal="center"/>
    </xf>
    <xf numFmtId="168" fontId="13" fillId="0" borderId="7" xfId="0" applyNumberFormat="1" applyFont="1" applyBorder="1"/>
    <xf numFmtId="168" fontId="13" fillId="0" borderId="0" xfId="0" applyNumberFormat="1" applyFont="1"/>
    <xf numFmtId="168" fontId="13" fillId="0" borderId="38" xfId="0" applyNumberFormat="1" applyFont="1" applyBorder="1"/>
    <xf numFmtId="3" fontId="13" fillId="2" borderId="15" xfId="0" applyFont="1" applyFill="1" applyBorder="1"/>
    <xf numFmtId="3" fontId="5" fillId="2" borderId="0" xfId="0" applyFont="1" applyFill="1" applyBorder="1"/>
    <xf numFmtId="37" fontId="14" fillId="2" borderId="21" xfId="0" applyNumberFormat="1" applyFont="1" applyFill="1" applyBorder="1" applyAlignment="1" applyProtection="1">
      <alignment horizontal="centerContinuous"/>
    </xf>
    <xf numFmtId="168" fontId="5" fillId="2" borderId="15" xfId="14" applyNumberFormat="1" applyFont="1" applyFill="1" applyBorder="1"/>
    <xf numFmtId="168" fontId="5" fillId="2" borderId="0" xfId="14" applyNumberFormat="1" applyFont="1" applyFill="1" applyBorder="1"/>
    <xf numFmtId="165" fontId="5" fillId="2" borderId="15" xfId="1" applyNumberFormat="1" applyFont="1" applyFill="1" applyBorder="1"/>
    <xf numFmtId="165" fontId="5" fillId="2" borderId="0" xfId="1" applyNumberFormat="1" applyFont="1" applyFill="1" applyBorder="1"/>
    <xf numFmtId="165" fontId="5" fillId="2" borderId="0" xfId="1" applyNumberFormat="1" applyFont="1" applyFill="1"/>
    <xf numFmtId="165" fontId="19" fillId="2" borderId="0" xfId="1" applyNumberFormat="1" applyFont="1" applyFill="1"/>
    <xf numFmtId="165" fontId="5" fillId="2" borderId="16" xfId="1" applyNumberFormat="1" applyFont="1" applyFill="1" applyBorder="1"/>
    <xf numFmtId="165" fontId="5" fillId="2" borderId="3" xfId="1" applyNumberFormat="1" applyFont="1" applyFill="1" applyBorder="1"/>
    <xf numFmtId="3" fontId="17" fillId="24" borderId="4" xfId="5" applyFont="1" applyFill="1" applyBorder="1" applyAlignment="1">
      <alignment horizontal="right"/>
    </xf>
    <xf numFmtId="3" fontId="17" fillId="25" borderId="4" xfId="5" applyFont="1" applyFill="1" applyBorder="1" applyAlignment="1">
      <alignment horizontal="right"/>
    </xf>
    <xf numFmtId="168" fontId="13" fillId="0" borderId="8" xfId="0" applyNumberFormat="1" applyFont="1" applyBorder="1"/>
    <xf numFmtId="168" fontId="13" fillId="0" borderId="3" xfId="0" applyNumberFormat="1" applyFont="1" applyBorder="1"/>
    <xf numFmtId="168" fontId="13" fillId="0" borderId="41" xfId="0" applyNumberFormat="1" applyFont="1" applyBorder="1"/>
    <xf numFmtId="3" fontId="17" fillId="24" borderId="0" xfId="5" applyFont="1" applyFill="1" applyBorder="1" applyAlignment="1">
      <alignment horizontal="right"/>
    </xf>
    <xf numFmtId="3" fontId="17" fillId="27" borderId="4" xfId="5" applyFont="1" applyFill="1" applyBorder="1" applyAlignment="1">
      <alignment horizontal="right"/>
    </xf>
    <xf numFmtId="37" fontId="12" fillId="0" borderId="0" xfId="0" applyNumberFormat="1" applyFont="1" applyAlignment="1" applyProtection="1">
      <alignment horizontal="left"/>
    </xf>
    <xf numFmtId="37" fontId="14" fillId="0" borderId="43" xfId="0" applyNumberFormat="1" applyFont="1" applyFill="1" applyBorder="1" applyAlignment="1" applyProtection="1">
      <alignment horizontal="right"/>
    </xf>
    <xf numFmtId="37" fontId="14" fillId="0" borderId="16" xfId="0" applyNumberFormat="1" applyFont="1" applyFill="1" applyBorder="1" applyAlignment="1" applyProtection="1">
      <alignment horizontal="right"/>
    </xf>
    <xf numFmtId="3" fontId="6" fillId="0" borderId="0" xfId="0" applyFont="1" applyFill="1" applyBorder="1" applyAlignment="1">
      <alignment horizontal="centerContinuous"/>
    </xf>
    <xf numFmtId="3" fontId="23" fillId="0" borderId="0" xfId="0" applyFont="1" applyAlignment="1">
      <alignment horizontal="centerContinuous"/>
    </xf>
    <xf numFmtId="3" fontId="19" fillId="0" borderId="0" xfId="0" applyFont="1" applyAlignment="1">
      <alignment horizontal="centerContinuous"/>
    </xf>
    <xf numFmtId="3" fontId="17" fillId="27" borderId="0" xfId="5" applyFont="1" applyFill="1" applyBorder="1" applyAlignment="1">
      <alignment horizontal="right"/>
    </xf>
    <xf numFmtId="3" fontId="5" fillId="5" borderId="44" xfId="10" applyNumberFormat="1" applyFont="1" applyFill="1" applyBorder="1" applyAlignment="1"/>
    <xf numFmtId="3" fontId="33" fillId="0" borderId="0" xfId="0" applyFont="1"/>
    <xf numFmtId="37" fontId="14" fillId="0" borderId="17" xfId="0" applyNumberFormat="1" applyFont="1" applyBorder="1" applyAlignment="1" applyProtection="1">
      <alignment horizontal="centerContinuous" wrapText="1"/>
    </xf>
    <xf numFmtId="170" fontId="35" fillId="0" borderId="0" xfId="14" applyNumberFormat="1" applyFont="1" applyFill="1" applyBorder="1" applyAlignment="1">
      <alignment horizontal="center"/>
    </xf>
    <xf numFmtId="2" fontId="35" fillId="0" borderId="0" xfId="14" applyNumberFormat="1" applyFont="1" applyFill="1" applyBorder="1" applyAlignment="1">
      <alignment horizontal="center"/>
    </xf>
    <xf numFmtId="37" fontId="14" fillId="0" borderId="16" xfId="0" applyNumberFormat="1" applyFont="1" applyBorder="1" applyAlignment="1" applyProtection="1">
      <alignment horizontal="centerContinuous" wrapText="1"/>
    </xf>
    <xf numFmtId="3" fontId="34" fillId="4" borderId="0" xfId="0" applyFont="1" applyFill="1" applyAlignment="1">
      <alignment vertical="center"/>
    </xf>
    <xf numFmtId="165" fontId="36" fillId="27" borderId="4" xfId="1" applyNumberFormat="1" applyFont="1" applyFill="1" applyBorder="1"/>
    <xf numFmtId="3" fontId="13" fillId="0" borderId="3" xfId="0" applyFont="1" applyBorder="1"/>
    <xf numFmtId="3" fontId="5" fillId="0" borderId="3" xfId="0" applyFont="1" applyBorder="1" applyAlignment="1">
      <alignment horizontal="right" wrapText="1"/>
    </xf>
    <xf numFmtId="3" fontId="5" fillId="0" borderId="21" xfId="0" applyFont="1" applyBorder="1"/>
    <xf numFmtId="3" fontId="5" fillId="0" borderId="16" xfId="0" applyFont="1" applyBorder="1" applyAlignment="1">
      <alignment horizontal="right" wrapText="1"/>
    </xf>
    <xf numFmtId="170" fontId="35" fillId="0" borderId="3" xfId="14" applyNumberFormat="1" applyFont="1" applyFill="1" applyBorder="1" applyAlignment="1">
      <alignment horizontal="center"/>
    </xf>
    <xf numFmtId="168" fontId="5" fillId="0" borderId="15" xfId="14" applyNumberFormat="1" applyFont="1" applyBorder="1"/>
    <xf numFmtId="168" fontId="5" fillId="0" borderId="16" xfId="14" applyNumberFormat="1" applyFont="1" applyBorder="1"/>
    <xf numFmtId="168" fontId="5" fillId="0" borderId="6" xfId="14" applyNumberFormat="1" applyFont="1" applyBorder="1"/>
    <xf numFmtId="2" fontId="35" fillId="0" borderId="3" xfId="14" applyNumberFormat="1" applyFont="1" applyFill="1" applyBorder="1" applyAlignment="1">
      <alignment horizontal="center"/>
    </xf>
    <xf numFmtId="171" fontId="35" fillId="0" borderId="0" xfId="14" applyNumberFormat="1" applyFont="1" applyFill="1" applyBorder="1" applyAlignment="1">
      <alignment horizontal="center"/>
    </xf>
    <xf numFmtId="3" fontId="33" fillId="4" borderId="0" xfId="0" applyFont="1" applyFill="1"/>
    <xf numFmtId="3" fontId="33" fillId="0" borderId="3" xfId="0" applyFont="1" applyBorder="1"/>
    <xf numFmtId="3" fontId="5" fillId="0" borderId="28" xfId="0" applyFont="1" applyBorder="1"/>
    <xf numFmtId="3" fontId="20" fillId="0" borderId="5" xfId="0" applyNumberFormat="1" applyFont="1" applyBorder="1" applyAlignment="1">
      <alignment horizontal="right"/>
    </xf>
    <xf numFmtId="3" fontId="37" fillId="0" borderId="3" xfId="0" applyFont="1" applyBorder="1"/>
    <xf numFmtId="171" fontId="35" fillId="0" borderId="3" xfId="14" applyNumberFormat="1" applyFont="1" applyFill="1" applyBorder="1" applyAlignment="1">
      <alignment horizontal="center"/>
    </xf>
    <xf numFmtId="168" fontId="5" fillId="0" borderId="0" xfId="14" applyNumberFormat="1" applyFont="1" applyFill="1" applyAlignment="1">
      <alignment vertical="center"/>
    </xf>
    <xf numFmtId="165" fontId="39" fillId="0" borderId="18" xfId="0" applyNumberFormat="1" applyFont="1" applyFill="1" applyBorder="1" applyAlignment="1"/>
    <xf numFmtId="165" fontId="39" fillId="0" borderId="33" xfId="0" applyNumberFormat="1" applyFont="1" applyFill="1" applyBorder="1" applyAlignment="1"/>
    <xf numFmtId="165" fontId="39" fillId="0" borderId="18" xfId="0" applyNumberFormat="1" applyFont="1" applyFill="1" applyBorder="1"/>
    <xf numFmtId="165" fontId="39" fillId="0" borderId="33" xfId="0" applyNumberFormat="1" applyFont="1" applyFill="1" applyBorder="1"/>
    <xf numFmtId="165" fontId="39" fillId="0" borderId="34" xfId="0" applyNumberFormat="1" applyFont="1" applyFill="1" applyBorder="1"/>
    <xf numFmtId="165" fontId="39" fillId="0" borderId="36" xfId="0" applyNumberFormat="1" applyFont="1" applyFill="1" applyBorder="1"/>
    <xf numFmtId="165" fontId="39" fillId="0" borderId="13" xfId="0" applyNumberFormat="1" applyFont="1" applyFill="1" applyBorder="1"/>
    <xf numFmtId="165" fontId="40" fillId="0" borderId="18" xfId="0" applyNumberFormat="1" applyFont="1" applyFill="1" applyBorder="1" applyAlignment="1"/>
    <xf numFmtId="165" fontId="40" fillId="0" borderId="2" xfId="0" applyNumberFormat="1" applyFont="1" applyFill="1" applyBorder="1" applyAlignment="1"/>
    <xf numFmtId="165" fontId="39" fillId="0" borderId="38" xfId="0" applyNumberFormat="1" applyFont="1" applyFill="1" applyBorder="1"/>
    <xf numFmtId="165" fontId="39" fillId="0" borderId="7" xfId="0" applyNumberFormat="1" applyFont="1" applyFill="1" applyBorder="1"/>
    <xf numFmtId="165" fontId="39" fillId="0" borderId="0" xfId="0" applyNumberFormat="1" applyFont="1" applyFill="1"/>
    <xf numFmtId="166" fontId="40" fillId="0" borderId="38" xfId="0" applyNumberFormat="1" applyFont="1" applyFill="1" applyBorder="1" applyAlignment="1">
      <alignment horizontal="right"/>
    </xf>
    <xf numFmtId="166" fontId="40" fillId="0" borderId="7" xfId="0" applyNumberFormat="1" applyFont="1" applyFill="1" applyBorder="1" applyAlignment="1">
      <alignment horizontal="right"/>
    </xf>
    <xf numFmtId="166" fontId="40" fillId="0" borderId="0" xfId="0" applyNumberFormat="1" applyFont="1" applyFill="1" applyAlignment="1">
      <alignment horizontal="right"/>
    </xf>
    <xf numFmtId="165" fontId="40" fillId="0" borderId="36" xfId="0" applyNumberFormat="1" applyFont="1" applyFill="1" applyBorder="1" applyAlignment="1"/>
    <xf numFmtId="165" fontId="40" fillId="0" borderId="37" xfId="0" applyNumberFormat="1" applyFont="1" applyFill="1" applyBorder="1" applyAlignment="1"/>
    <xf numFmtId="165" fontId="39" fillId="0" borderId="45" xfId="0" applyNumberFormat="1" applyFont="1" applyFill="1" applyBorder="1"/>
    <xf numFmtId="165" fontId="39" fillId="0" borderId="0" xfId="0" applyNumberFormat="1" applyFont="1" applyFill="1" applyBorder="1"/>
    <xf numFmtId="165" fontId="40" fillId="0" borderId="34" xfId="0" applyNumberFormat="1" applyFont="1" applyFill="1" applyBorder="1" applyAlignment="1"/>
    <xf numFmtId="166" fontId="40" fillId="0" borderId="18" xfId="0" applyNumberFormat="1" applyFont="1" applyFill="1" applyBorder="1" applyAlignment="1"/>
    <xf numFmtId="166" fontId="40" fillId="0" borderId="13" xfId="0" applyNumberFormat="1" applyFont="1" applyFill="1" applyBorder="1" applyAlignment="1"/>
    <xf numFmtId="165" fontId="40" fillId="0" borderId="18" xfId="0" applyNumberFormat="1" applyFont="1" applyFill="1" applyBorder="1"/>
    <xf numFmtId="165" fontId="40" fillId="0" borderId="34" xfId="0" applyNumberFormat="1" applyFont="1" applyFill="1" applyBorder="1"/>
    <xf numFmtId="166" fontId="40" fillId="0" borderId="18" xfId="0" applyNumberFormat="1" applyFont="1" applyFill="1" applyBorder="1" applyAlignment="1">
      <alignment horizontal="right"/>
    </xf>
    <xf numFmtId="166" fontId="40" fillId="0" borderId="13" xfId="0" applyNumberFormat="1" applyFont="1" applyFill="1" applyBorder="1" applyAlignment="1">
      <alignment horizontal="right"/>
    </xf>
    <xf numFmtId="165" fontId="39" fillId="0" borderId="20" xfId="0" applyNumberFormat="1" applyFont="1" applyFill="1" applyBorder="1"/>
    <xf numFmtId="165" fontId="39" fillId="0" borderId="46" xfId="0" applyNumberFormat="1" applyFont="1" applyFill="1" applyBorder="1"/>
    <xf numFmtId="165" fontId="39" fillId="0" borderId="11" xfId="0" applyNumberFormat="1" applyFont="1" applyFill="1" applyBorder="1"/>
    <xf numFmtId="165" fontId="39" fillId="0" borderId="25" xfId="0" applyNumberFormat="1" applyFont="1" applyFill="1" applyBorder="1"/>
    <xf numFmtId="165" fontId="39" fillId="3" borderId="33" xfId="0" applyNumberFormat="1" applyFont="1" applyFill="1" applyBorder="1"/>
    <xf numFmtId="165" fontId="39" fillId="3" borderId="34" xfId="0" applyNumberFormat="1" applyFont="1" applyFill="1" applyBorder="1"/>
    <xf numFmtId="165" fontId="40" fillId="0" borderId="7" xfId="0" applyNumberFormat="1" applyFont="1" applyFill="1" applyBorder="1"/>
    <xf numFmtId="165" fontId="40" fillId="0" borderId="0" xfId="0" applyNumberFormat="1" applyFont="1" applyFill="1"/>
    <xf numFmtId="165" fontId="40" fillId="0" borderId="7" xfId="0" applyNumberFormat="1" applyFont="1" applyFill="1" applyBorder="1" applyAlignment="1">
      <alignment horizontal="right"/>
    </xf>
    <xf numFmtId="165" fontId="40" fillId="0" borderId="0" xfId="0" applyNumberFormat="1" applyFont="1" applyFill="1" applyAlignment="1">
      <alignment horizontal="right"/>
    </xf>
    <xf numFmtId="165" fontId="40" fillId="0" borderId="39" xfId="0" applyNumberFormat="1" applyFont="1" applyFill="1" applyBorder="1" applyAlignment="1"/>
    <xf numFmtId="165" fontId="40" fillId="0" borderId="47" xfId="0" applyNumberFormat="1" applyFont="1" applyFill="1" applyBorder="1" applyAlignment="1"/>
    <xf numFmtId="169" fontId="40" fillId="0" borderId="8" xfId="0" applyNumberFormat="1" applyFont="1" applyFill="1" applyBorder="1"/>
    <xf numFmtId="169" fontId="40" fillId="0" borderId="3" xfId="0" applyNumberFormat="1" applyFont="1" applyFill="1" applyBorder="1"/>
    <xf numFmtId="165" fontId="40" fillId="0" borderId="41" xfId="0" applyNumberFormat="1" applyFont="1" applyFill="1" applyBorder="1" applyAlignment="1">
      <alignment horizontal="right"/>
    </xf>
    <xf numFmtId="165" fontId="40" fillId="0" borderId="48" xfId="0" applyNumberFormat="1" applyFont="1" applyFill="1" applyBorder="1" applyAlignment="1">
      <alignment horizontal="right"/>
    </xf>
    <xf numFmtId="165" fontId="39" fillId="0" borderId="39" xfId="0" applyNumberFormat="1" applyFont="1" applyFill="1" applyBorder="1"/>
    <xf numFmtId="165" fontId="39" fillId="0" borderId="49" xfId="0" applyNumberFormat="1" applyFont="1" applyFill="1" applyBorder="1"/>
    <xf numFmtId="165" fontId="39" fillId="0" borderId="17" xfId="0" applyNumberFormat="1" applyFont="1" applyFill="1" applyBorder="1"/>
    <xf numFmtId="165" fontId="39" fillId="0" borderId="49" xfId="0" applyNumberFormat="1" applyFont="1" applyFill="1" applyBorder="1" applyAlignment="1">
      <alignment horizontal="right"/>
    </xf>
    <xf numFmtId="165" fontId="39" fillId="0" borderId="17" xfId="0" applyNumberFormat="1" applyFont="1" applyFill="1" applyBorder="1" applyAlignment="1">
      <alignment horizontal="right"/>
    </xf>
    <xf numFmtId="165" fontId="39" fillId="3" borderId="18" xfId="0" applyNumberFormat="1" applyFont="1" applyFill="1" applyBorder="1"/>
    <xf numFmtId="165" fontId="39" fillId="3" borderId="7" xfId="0" applyNumberFormat="1" applyFont="1" applyFill="1" applyBorder="1"/>
    <xf numFmtId="166" fontId="40" fillId="3" borderId="7" xfId="0" applyNumberFormat="1" applyFont="1" applyFill="1" applyBorder="1" applyAlignment="1">
      <alignment horizontal="right"/>
    </xf>
    <xf numFmtId="169" fontId="40" fillId="3" borderId="8" xfId="0" applyNumberFormat="1" applyFont="1" applyFill="1" applyBorder="1"/>
    <xf numFmtId="165" fontId="40" fillId="3" borderId="7" xfId="0" applyNumberFormat="1" applyFont="1" applyFill="1" applyBorder="1"/>
    <xf numFmtId="165" fontId="40" fillId="3" borderId="7" xfId="0" applyNumberFormat="1" applyFont="1" applyFill="1" applyBorder="1" applyAlignment="1">
      <alignment horizontal="right"/>
    </xf>
    <xf numFmtId="166" fontId="40" fillId="3" borderId="18" xfId="0" applyNumberFormat="1" applyFont="1" applyFill="1" applyBorder="1" applyAlignment="1"/>
    <xf numFmtId="166" fontId="40" fillId="3" borderId="18" xfId="0" applyNumberFormat="1" applyFont="1" applyFill="1" applyBorder="1" applyAlignment="1">
      <alignment horizontal="right"/>
    </xf>
    <xf numFmtId="165" fontId="39" fillId="3" borderId="20" xfId="0" applyNumberFormat="1" applyFont="1" applyFill="1" applyBorder="1"/>
    <xf numFmtId="165" fontId="39" fillId="3" borderId="36" xfId="0" applyNumberFormat="1" applyFont="1" applyFill="1" applyBorder="1"/>
    <xf numFmtId="165" fontId="39" fillId="3" borderId="38" xfId="0" applyNumberFormat="1" applyFont="1" applyFill="1" applyBorder="1"/>
    <xf numFmtId="166" fontId="40" fillId="3" borderId="38" xfId="0" applyNumberFormat="1" applyFont="1" applyFill="1" applyBorder="1" applyAlignment="1">
      <alignment horizontal="right"/>
    </xf>
    <xf numFmtId="169" fontId="40" fillId="3" borderId="41" xfId="0" applyNumberFormat="1" applyFont="1" applyFill="1" applyBorder="1"/>
    <xf numFmtId="165" fontId="40" fillId="3" borderId="38" xfId="0" applyNumberFormat="1" applyFont="1" applyFill="1" applyBorder="1"/>
    <xf numFmtId="165" fontId="40" fillId="3" borderId="38" xfId="0" applyNumberFormat="1" applyFont="1" applyFill="1" applyBorder="1" applyAlignment="1">
      <alignment horizontal="right"/>
    </xf>
    <xf numFmtId="166" fontId="40" fillId="3" borderId="36" xfId="0" applyNumberFormat="1" applyFont="1" applyFill="1" applyBorder="1" applyAlignment="1"/>
    <xf numFmtId="166" fontId="40" fillId="3" borderId="36" xfId="0" applyNumberFormat="1" applyFont="1" applyFill="1" applyBorder="1" applyAlignment="1">
      <alignment horizontal="right"/>
    </xf>
    <xf numFmtId="165" fontId="39" fillId="3" borderId="42" xfId="0" applyNumberFormat="1" applyFont="1" applyFill="1" applyBorder="1"/>
    <xf numFmtId="165" fontId="39" fillId="3" borderId="39" xfId="0" applyNumberFormat="1" applyFont="1" applyFill="1" applyBorder="1"/>
    <xf numFmtId="165" fontId="39" fillId="3" borderId="47" xfId="0" applyNumberFormat="1" applyFont="1" applyFill="1" applyBorder="1"/>
    <xf numFmtId="165" fontId="39" fillId="3" borderId="49" xfId="0" applyNumberFormat="1" applyFont="1" applyFill="1" applyBorder="1"/>
    <xf numFmtId="37" fontId="5" fillId="28" borderId="6" xfId="10" applyNumberFormat="1" applyFont="1" applyFill="1" applyBorder="1" applyAlignment="1" applyProtection="1">
      <alignment horizontal="center"/>
    </xf>
    <xf numFmtId="0" fontId="5" fillId="28" borderId="3" xfId="10" applyNumberFormat="1" applyFont="1" applyFill="1" applyBorder="1" applyAlignment="1" applyProtection="1">
      <alignment horizontal="center"/>
    </xf>
    <xf numFmtId="3" fontId="5" fillId="28" borderId="0" xfId="10" applyNumberFormat="1" applyFont="1" applyFill="1" applyBorder="1" applyAlignment="1"/>
    <xf numFmtId="3" fontId="41" fillId="26" borderId="4" xfId="5" applyFont="1" applyFill="1" applyBorder="1" applyAlignment="1">
      <alignment horizontal="right"/>
    </xf>
    <xf numFmtId="10" fontId="17" fillId="0" borderId="4" xfId="14" applyNumberFormat="1" applyFont="1" applyFill="1" applyBorder="1" applyAlignment="1">
      <alignment horizontal="right"/>
    </xf>
    <xf numFmtId="10" fontId="5" fillId="0" borderId="5" xfId="14" applyNumberFormat="1" applyFont="1" applyBorder="1" applyAlignment="1">
      <alignment horizontal="right"/>
    </xf>
    <xf numFmtId="10" fontId="5" fillId="0" borderId="0" xfId="14" applyNumberFormat="1" applyFont="1" applyBorder="1"/>
    <xf numFmtId="172" fontId="5" fillId="0" borderId="0" xfId="14" applyNumberFormat="1" applyFont="1" applyBorder="1"/>
    <xf numFmtId="10" fontId="5" fillId="0" borderId="15" xfId="14" applyNumberFormat="1" applyFont="1" applyBorder="1"/>
    <xf numFmtId="3" fontId="42" fillId="0" borderId="0" xfId="0" applyFont="1"/>
    <xf numFmtId="3" fontId="33" fillId="0" borderId="7" xfId="0" applyFont="1" applyBorder="1"/>
    <xf numFmtId="166" fontId="30" fillId="0" borderId="0" xfId="0" applyNumberFormat="1" applyFont="1"/>
    <xf numFmtId="3" fontId="13" fillId="0" borderId="20" xfId="0" applyFont="1" applyBorder="1"/>
    <xf numFmtId="168" fontId="33" fillId="0" borderId="50" xfId="0" applyNumberFormat="1" applyFont="1" applyBorder="1"/>
    <xf numFmtId="166" fontId="33" fillId="0" borderId="50" xfId="0" applyNumberFormat="1" applyFont="1" applyBorder="1"/>
    <xf numFmtId="166" fontId="33" fillId="0" borderId="6" xfId="0" applyNumberFormat="1" applyFont="1" applyBorder="1"/>
    <xf numFmtId="166" fontId="33" fillId="0" borderId="51" xfId="0" applyNumberFormat="1" applyFont="1" applyBorder="1"/>
    <xf numFmtId="3" fontId="44" fillId="0" borderId="0" xfId="0" applyFont="1"/>
    <xf numFmtId="3" fontId="43" fillId="0" borderId="23" xfId="0" applyFont="1" applyBorder="1"/>
    <xf numFmtId="3" fontId="37" fillId="0" borderId="18" xfId="0" applyFont="1" applyBorder="1"/>
    <xf numFmtId="3" fontId="37" fillId="0" borderId="33" xfId="0" applyFont="1" applyBorder="1"/>
    <xf numFmtId="3" fontId="37" fillId="0" borderId="36" xfId="0" applyFont="1" applyBorder="1"/>
    <xf numFmtId="3" fontId="37" fillId="0" borderId="13" xfId="0" applyFont="1" applyBorder="1"/>
    <xf numFmtId="3" fontId="37" fillId="0" borderId="2" xfId="0" applyFont="1" applyBorder="1"/>
    <xf numFmtId="3" fontId="37" fillId="0" borderId="37" xfId="0" applyFont="1" applyBorder="1"/>
    <xf numFmtId="168" fontId="37" fillId="0" borderId="0" xfId="14" applyNumberFormat="1" applyFont="1" applyAlignment="1">
      <alignment horizontal="right"/>
    </xf>
    <xf numFmtId="168" fontId="30" fillId="0" borderId="0" xfId="14" applyNumberFormat="1" applyFont="1"/>
    <xf numFmtId="10" fontId="33" fillId="0" borderId="50" xfId="0" applyNumberFormat="1" applyFont="1" applyBorder="1"/>
    <xf numFmtId="10" fontId="34" fillId="0" borderId="0" xfId="14" quotePrefix="1" applyNumberFormat="1" applyFont="1" applyAlignment="1">
      <alignment horizontal="right"/>
    </xf>
    <xf numFmtId="3" fontId="45" fillId="0" borderId="52" xfId="0" applyFont="1" applyBorder="1"/>
    <xf numFmtId="10" fontId="45" fillId="0" borderId="53" xfId="14" quotePrefix="1" applyNumberFormat="1" applyFont="1" applyBorder="1" applyAlignment="1">
      <alignment horizontal="right"/>
    </xf>
    <xf numFmtId="10" fontId="45" fillId="0" borderId="54" xfId="14" quotePrefix="1" applyNumberFormat="1" applyFont="1" applyBorder="1" applyAlignment="1">
      <alignment horizontal="right"/>
    </xf>
    <xf numFmtId="3" fontId="37" fillId="0" borderId="18" xfId="0" applyFont="1" applyFill="1" applyBorder="1"/>
    <xf numFmtId="168" fontId="37" fillId="0" borderId="0" xfId="14" applyNumberFormat="1" applyFont="1" applyFill="1" applyAlignment="1">
      <alignment horizontal="right"/>
    </xf>
    <xf numFmtId="168" fontId="5" fillId="0" borderId="0" xfId="14" applyNumberFormat="1" applyFont="1" applyFill="1"/>
    <xf numFmtId="168" fontId="30" fillId="0" borderId="0" xfId="14" applyNumberFormat="1" applyFont="1" applyFill="1"/>
    <xf numFmtId="10" fontId="34" fillId="0" borderId="0" xfId="14" quotePrefix="1" applyNumberFormat="1" applyFont="1" applyFill="1" applyAlignment="1">
      <alignment horizontal="right"/>
    </xf>
    <xf numFmtId="10" fontId="45" fillId="0" borderId="53" xfId="14" quotePrefix="1" applyNumberFormat="1" applyFont="1" applyFill="1" applyBorder="1" applyAlignment="1">
      <alignment horizontal="right"/>
    </xf>
    <xf numFmtId="37" fontId="9" fillId="0" borderId="0" xfId="0" applyNumberFormat="1" applyFont="1" applyBorder="1" applyAlignment="1" applyProtection="1">
      <alignment horizontal="left" vertical="top" wrapText="1"/>
    </xf>
    <xf numFmtId="3" fontId="9" fillId="0" borderId="0" xfId="0" applyFont="1" applyAlignment="1"/>
    <xf numFmtId="37" fontId="12" fillId="0" borderId="0" xfId="0" applyNumberFormat="1" applyFont="1" applyAlignment="1" applyProtection="1">
      <alignment horizontal="center"/>
    </xf>
    <xf numFmtId="37" fontId="8" fillId="0" borderId="0" xfId="0" applyNumberFormat="1" applyFont="1" applyAlignment="1" applyProtection="1">
      <alignment horizontal="center"/>
    </xf>
    <xf numFmtId="37" fontId="14" fillId="0" borderId="11" xfId="0" applyNumberFormat="1" applyFont="1" applyBorder="1" applyAlignment="1" applyProtection="1">
      <alignment horizontal="center"/>
    </xf>
    <xf numFmtId="3" fontId="4" fillId="0" borderId="11" xfId="0" applyFont="1" applyBorder="1" applyAlignment="1">
      <alignment horizontal="center"/>
    </xf>
    <xf numFmtId="37" fontId="3" fillId="0" borderId="0" xfId="0" applyNumberFormat="1" applyFont="1" applyBorder="1" applyAlignment="1" applyProtection="1">
      <alignment horizontal="left" vertical="top" wrapText="1"/>
    </xf>
    <xf numFmtId="3" fontId="3" fillId="0" borderId="0" xfId="0" applyFont="1" applyBorder="1"/>
    <xf numFmtId="3" fontId="3" fillId="0" borderId="0" xfId="0" applyFont="1" applyBorder="1" applyAlignment="1">
      <alignment wrapText="1"/>
    </xf>
    <xf numFmtId="3" fontId="0" fillId="0" borderId="0" xfId="0" applyAlignment="1">
      <alignment wrapText="1"/>
    </xf>
    <xf numFmtId="37" fontId="9" fillId="0" borderId="6" xfId="0" applyNumberFormat="1" applyFont="1" applyBorder="1" applyAlignment="1" applyProtection="1">
      <alignment horizontal="left" vertical="top" wrapText="1"/>
    </xf>
    <xf numFmtId="3" fontId="0" fillId="0" borderId="6" xfId="0" applyBorder="1" applyAlignment="1">
      <alignment horizontal="left" vertical="top" wrapText="1"/>
    </xf>
  </cellXfs>
  <cellStyles count="17">
    <cellStyle name="Comma" xfId="1" builtinId="3"/>
    <cellStyle name="Normal" xfId="0" builtinId="0"/>
    <cellStyle name="Normal 3" xfId="2"/>
    <cellStyle name="Normal 5" xfId="3"/>
    <cellStyle name="Normal_03SCH&amp;FTE05" xfId="4"/>
    <cellStyle name="Normal_04SCH-FTE09mastersurvey" xfId="5"/>
    <cellStyle name="Normal_4 SCH Data" xfId="6"/>
    <cellStyle name="Normal_Degree02 Form" xfId="7"/>
    <cellStyle name="Normal_Degrees02 Form" xfId="8"/>
    <cellStyle name="Normal_Funding02 Form" xfId="9"/>
    <cellStyle name="Normal_SCH&amp;FTE02 Form" xfId="10"/>
    <cellStyle name="Normal_SCH&amp;FTE03 Form" xfId="11"/>
    <cellStyle name="Normal_StProg01B" xfId="12"/>
    <cellStyle name="Normal_StProg02 Form" xfId="13"/>
    <cellStyle name="Percent" xfId="14" builtinId="5"/>
    <cellStyle name="questionable" xfId="15"/>
    <cellStyle name="review" xfId="16"/>
  </cellStyles>
  <dxfs count="40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numFmt numFmtId="14" formatCode="0.00%"/>
    </dxf>
    <dxf>
      <numFmt numFmtId="14" formatCode="0.00%"/>
    </dxf>
    <dxf>
      <numFmt numFmtId="14" formatCode="0.00%"/>
    </dxf>
    <dxf>
      <numFmt numFmtId="14" formatCode="0.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6" formatCode="#,##0.0"/>
    </dxf>
    <dxf>
      <border>
        <top style="thin">
          <color indexed="64"/>
        </top>
      </border>
    </dxf>
    <dxf>
      <numFmt numFmtId="168" formatCode="0.0%"/>
    </dxf>
    <dxf>
      <border>
        <top style="thin">
          <color indexed="64"/>
        </top>
      </border>
    </dxf>
    <dxf>
      <font>
        <color rgb="FFC00000"/>
      </font>
    </dxf>
    <dxf>
      <font>
        <b/>
      </font>
      <numFmt numFmtId="168" formatCode="0.0%"/>
    </dxf>
    <dxf>
      <font>
        <b/>
      </font>
      <numFmt numFmtId="168" formatCode="0.0%"/>
    </dxf>
    <dxf>
      <numFmt numFmtId="168" formatCode="0.0%"/>
    </dxf>
    <dxf>
      <font>
        <b/>
      </font>
    </dxf>
    <dxf>
      <font>
        <b/>
      </font>
    </dxf>
    <dxf>
      <font>
        <b/>
      </font>
    </dxf>
    <dxf>
      <font>
        <b/>
      </font>
    </dxf>
    <dxf>
      <font>
        <b/>
      </font>
    </dxf>
    <dxf>
      <font>
        <b/>
      </font>
    </dxf>
    <dxf>
      <font>
        <b/>
      </font>
    </dxf>
    <dxf>
      <font>
        <b/>
      </font>
    </dxf>
    <dxf>
      <font>
        <color rgb="FFC00000"/>
      </font>
    </dxf>
    <dxf>
      <font>
        <color rgb="FFC00000"/>
      </font>
    </dxf>
    <dxf>
      <font>
        <b/>
      </font>
    </dxf>
    <dxf>
      <font>
        <b/>
      </font>
    </dxf>
    <dxf>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numFmt numFmtId="168" formatCode="0.0%"/>
    </dxf>
    <dxf>
      <font>
        <b/>
      </font>
    </dxf>
    <dxf>
      <font>
        <b/>
      </font>
    </dxf>
    <dxf>
      <border>
        <bottom/>
      </border>
    </dxf>
    <dxf>
      <border>
        <bottom/>
      </border>
    </dxf>
    <dxf>
      <border>
        <bottom/>
      </border>
    </dxf>
    <dxf>
      <border>
        <bottom/>
      </border>
    </dxf>
    <dxf>
      <border>
        <bottom/>
      </border>
    </dxf>
    <dxf>
      <border>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b/>
      </font>
    </dxf>
    <dxf>
      <font>
        <sz val="10"/>
      </font>
    </dxf>
    <dxf>
      <border>
        <bottom style="thin">
          <color indexed="64"/>
        </bottom>
      </border>
    </dxf>
    <dxf>
      <border>
        <bottom style="thin">
          <color indexed="64"/>
        </bottom>
      </border>
    </dxf>
    <dxf>
      <border>
        <bottom style="thin">
          <color indexed="64"/>
        </bottom>
      </border>
    </dxf>
    <dxf>
      <numFmt numFmtId="13" formatCode="0%"/>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14" formatCode="0.00%"/>
    </dxf>
    <dxf>
      <font>
        <b/>
      </font>
    </dxf>
    <dxf>
      <font>
        <b/>
      </font>
    </dxf>
    <dxf>
      <font>
        <b/>
      </font>
    </dxf>
    <dxf>
      <font>
        <b/>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fill>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alignment horizontal="right" readingOrder="0"/>
    </dxf>
    <dxf>
      <font>
        <b/>
      </font>
    </dxf>
    <dxf>
      <numFmt numFmtId="169" formatCode="_(* #,##0.0_);_(* \(#,##0.0\);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sz val="10"/>
      </font>
      <numFmt numFmtId="165" formatCode="_(* #,##0_);_(* \(#,##0\);_(* &quot;-&quot;??_);_(@_)"/>
    </dxf>
    <dxf>
      <border>
        <bottom style="thin">
          <color indexed="64"/>
        </bottom>
      </border>
    </dxf>
    <dxf>
      <border>
        <bottom style="thin">
          <color indexed="64"/>
        </bottom>
      </border>
    </dxf>
    <dxf>
      <fill>
        <patternFill>
          <bgColor indexed="22"/>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b/>
        <sz val="10"/>
      </font>
      <numFmt numFmtId="165" formatCode="_(* #,##0_);_(* \(#,##0\);_(* &quot;-&quot;??_);_(@_)"/>
    </dxf>
    <dxf>
      <fill>
        <patternFill patternType="solid">
          <bgColor indexed="22"/>
        </patternFill>
      </fill>
    </dxf>
    <dxf>
      <fill>
        <patternFill>
          <bgColor indexed="22"/>
        </patternFill>
      </fill>
    </dxf>
    <dxf>
      <fill>
        <patternFill>
          <bgColor indexed="22"/>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bgColor indexed="22"/>
        </patternFill>
      </fill>
    </dxf>
    <dxf>
      <fill>
        <patternFill patternType="solid">
          <bgColor indexed="49"/>
        </patternFill>
      </fill>
    </dxf>
    <dxf>
      <border>
        <top style="thin">
          <color indexed="8"/>
        </top>
      </border>
    </dxf>
    <dxf>
      <border>
        <left style="thin">
          <color indexed="64"/>
        </left>
      </border>
    </dxf>
    <dxf>
      <border>
        <left/>
      </border>
    </dxf>
    <dxf>
      <border>
        <left style="thin">
          <color indexed="64"/>
        </left>
      </border>
    </dxf>
    <dxf>
      <fill>
        <patternFill patternType="none"/>
      </fill>
    </dxf>
    <dxf>
      <fill>
        <patternFill patternType="solid">
          <bgColor indexed="43"/>
        </patternFill>
      </fill>
    </dxf>
    <dxf>
      <font>
        <b val="0"/>
      </font>
    </dxf>
    <dxf>
      <font>
        <b val="0"/>
      </font>
    </dxf>
    <dxf>
      <font>
        <b/>
        <sz val="10"/>
      </font>
      <numFmt numFmtId="165" formatCode="_(* #,##0_);_(* \(#,##0\);_(* &quot;-&quot;??_);_(@_)"/>
    </dxf>
    <dxf>
      <font>
        <b/>
        <sz val="10"/>
      </font>
      <numFmt numFmtId="165" formatCode="_(* #,##0_);_(* \(#,##0\);_(* &quot;-&quot;??_);_(@_)"/>
    </dxf>
    <dxf>
      <font>
        <b/>
      </font>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alignment horizontal="general" readingOrder="0"/>
    </dxf>
    <dxf>
      <alignment horizontal="general" readingOrder="0"/>
    </dxf>
    <dxf>
      <alignment horizontal="general" readingOrder="0"/>
    </dxf>
    <dxf>
      <border>
        <bottom style="thin">
          <color indexed="64"/>
        </bottom>
      </border>
    </dxf>
    <dxf>
      <border>
        <bottom style="thin">
          <color indexed="64"/>
        </bottom>
      </border>
    </dxf>
    <dxf>
      <font>
        <sz val="10"/>
      </font>
      <numFmt numFmtId="165" formatCode="_(* #,##0_);_(* \(#,##0\);_(* &quot;-&quot;??_);_(@_)"/>
    </dxf>
    <dxf>
      <font>
        <sz val="10"/>
      </font>
      <numFmt numFmtId="165" formatCode="_(* #,##0_);_(* \(#,##0\);_(* &quot;-&quot;??_);_(@_)"/>
    </dxf>
    <dxf>
      <font>
        <sz val="10"/>
      </font>
      <numFmt numFmtId="165" formatCode="_(* #,##0_);_(* \(#,##0\);_(* &quot;-&quot;??_);_(@_)"/>
    </dxf>
    <dxf>
      <font>
        <sz val="10"/>
      </font>
    </dxf>
    <dxf>
      <alignment horizontal="right" readingOrder="0"/>
    </dxf>
    <dxf>
      <alignment horizontal="right" readingOrder="0"/>
    </dxf>
    <dxf>
      <alignment horizontal="right" readingOrder="0"/>
    </dxf>
    <dxf>
      <alignment horizontal="right" readingOrder="0"/>
    </dxf>
    <dxf>
      <alignment horizontal="right" readingOrder="0"/>
    </dxf>
    <dxf>
      <font>
        <color auto="1"/>
      </font>
    </dxf>
    <dxf>
      <border>
        <left style="thin">
          <color indexed="8"/>
        </left>
        <right style="thin">
          <color indexed="8"/>
        </right>
      </border>
    </dxf>
    <dxf>
      <border>
        <right style="thin">
          <color indexed="8"/>
        </right>
      </border>
    </dxf>
    <dxf>
      <border>
        <right style="thin">
          <color indexed="8"/>
        </right>
      </border>
    </dxf>
    <dxf>
      <border>
        <right style="thin">
          <color indexed="8"/>
        </right>
      </border>
    </dxf>
    <dxf>
      <border>
        <left style="thin">
          <color indexed="64"/>
        </left>
      </border>
    </dxf>
    <dxf>
      <border>
        <right style="thin">
          <color indexed="64"/>
        </right>
      </border>
    </dxf>
    <dxf>
      <border>
        <left/>
      </border>
    </dxf>
    <dxf>
      <alignment horizontal="general" readingOrder="0"/>
    </dxf>
    <dxf>
      <alignment horizontal="right" readingOrder="0"/>
    </dxf>
    <dxf>
      <alignment horizontal="center" readingOrder="0"/>
    </dxf>
    <dxf>
      <alignment horizontal="left" readingOrder="0"/>
    </dxf>
    <dxf>
      <alignment horizontal="general" readingOrder="0"/>
    </dxf>
    <dxf>
      <alignment horizontal="right" readingOrder="0"/>
    </dxf>
    <dxf>
      <alignment horizontal="general" readingOrder="0"/>
    </dxf>
    <dxf>
      <alignment horizontal="right" readingOrder="0"/>
    </dxf>
    <dxf>
      <alignment horizontal="left" readingOrder="0"/>
    </dxf>
    <dxf>
      <alignment horizontal="right" readingOrder="0"/>
    </dxf>
    <dxf>
      <font>
        <b/>
      </font>
    </dxf>
    <dxf>
      <font>
        <b/>
      </font>
    </dxf>
    <dxf>
      <font>
        <b/>
      </font>
    </dxf>
    <dxf>
      <alignment horizontal="general" readingOrder="0"/>
    </dxf>
    <dxf>
      <alignment horizontal="right" readingOrder="0"/>
    </dxf>
    <dxf>
      <numFmt numFmtId="166" formatCode="#,##0.0"/>
    </dxf>
    <dxf>
      <font>
        <b/>
      </font>
    </dxf>
    <dxf>
      <font>
        <b/>
      </font>
    </dxf>
    <dxf>
      <font>
        <b/>
      </font>
    </dxf>
    <dxf>
      <fill>
        <patternFill patternType="solid">
          <bgColor indexed="22"/>
        </patternFill>
      </fill>
    </dxf>
    <dxf>
      <fill>
        <patternFill patternType="solid">
          <bgColor indexed="22"/>
        </patternFill>
      </fill>
    </dxf>
    <dxf>
      <fill>
        <patternFill patternType="solid">
          <bgColor indexed="22"/>
        </patternFill>
      </fill>
    </dxf>
    <dxf>
      <font>
        <b/>
      </font>
    </dxf>
    <dxf>
      <font>
        <b/>
      </font>
    </dxf>
    <dxf>
      <font>
        <b/>
      </font>
    </dxf>
    <dxf>
      <numFmt numFmtId="165" formatCode="_(* #,##0_);_(* \(#,##0\);_(* &quot;-&quot;??_);_(@_)"/>
    </dxf>
    <dxf>
      <numFmt numFmtId="169" formatCode="_(* #,##0.0_);_(* \(#,##0.0\);_(* &quot;-&quot;??_);_(@_)"/>
    </dxf>
    <dxf>
      <numFmt numFmtId="35" formatCode="_(* #,##0.00_);_(* \(#,##0.00\);_(* &quot;-&quot;??_);_(@_)"/>
    </dxf>
    <dxf>
      <alignment horizontal="right" readingOrder="0"/>
    </dxf>
    <dxf>
      <alignment horizontal="right" readingOrder="0"/>
    </dxf>
    <dxf>
      <numFmt numFmtId="169" formatCode="_(* #,##0.0_);_(* \(#,##0.0\);_(* &quot;-&quot;??_);_(@_)"/>
    </dxf>
    <dxf>
      <alignment horizontal="right" readingOrder="0"/>
    </dxf>
    <dxf>
      <numFmt numFmtId="165" formatCode="_(* #,##0_);_(* \(#,##0\);_(* &quot;-&quot;??_);_(@_)"/>
    </dxf>
    <dxf>
      <numFmt numFmtId="169" formatCode="_(* #,##0.0_);_(* \(#,##0.0\);_(* &quot;-&quot;??_);_(@_)"/>
    </dxf>
    <dxf>
      <numFmt numFmtId="35" formatCode="_(* #,##0.00_);_(* \(#,##0.00\);_(* &quot;-&quot;??_);_(@_)"/>
    </dxf>
    <dxf>
      <font>
        <name val="Arial"/>
        <scheme val="none"/>
      </font>
    </dxf>
  </dxfs>
  <tableStyles count="0" defaultTableStyle="TableStyleMedium9" defaultPivotStyle="PivotStyleLight16"/>
  <colors>
    <mruColors>
      <color rgb="FF0000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marks" refreshedDate="40204.452865162035" createdVersion="3" refreshedVersion="3" recordCount="723">
  <cacheSource type="worksheet">
    <worksheetSource ref="A4:AZ726" sheet="SCH Data"/>
  </cacheSource>
  <cacheFields count="59">
    <cacheField name="State" numFmtId="0">
      <sharedItems containsBlank="1" count="17">
        <s v="AL"/>
        <s v="AR"/>
        <s v="DE"/>
        <s v="FL"/>
        <s v="GA"/>
        <s v="KY"/>
        <s v="LA"/>
        <s v="MD"/>
        <s v="MS"/>
        <s v="NC"/>
        <s v="OK"/>
        <s v="SC"/>
        <s v="TN"/>
        <s v="TX"/>
        <s v="VA"/>
        <s v="WV"/>
        <m u="1"/>
      </sharedItems>
    </cacheField>
    <cacheField name="Institution" numFmtId="0">
      <sharedItems/>
    </cacheField>
    <cacheField name="IPEDS ID #" numFmtId="0">
      <sharedItems containsBlank="1" containsMixedTypes="1" containsNumber="1" containsInteger="1" minValue="100654" maxValue="447689"/>
    </cacheField>
    <cacheField name="Category" numFmtId="0">
      <sharedItems containsMixedTypes="1" containsNumber="1" containsInteger="1" minValue="1" maxValue="15" count="19">
        <n v="1"/>
        <n v="2"/>
        <n v="3"/>
        <n v="4"/>
        <n v="5"/>
        <n v="6"/>
        <n v="8"/>
        <n v="9"/>
        <n v="10"/>
        <n v="12"/>
        <n v="13"/>
        <n v="15"/>
        <n v="7"/>
        <n v="14"/>
        <s v="8b"/>
        <s v="9b"/>
        <s v="10b"/>
        <s v="11b"/>
        <n v="11" u="1"/>
      </sharedItems>
      <fieldGroup par="55"/>
    </cacheField>
    <cacheField name="Old-Term Code" numFmtId="3">
      <sharedItems containsBlank="1"/>
    </cacheField>
    <cacheField name="New-Term Code" numFmtId="3">
      <sharedItems containsBlank="1"/>
    </cacheField>
    <cacheField name="old-Winter Undg SCH" numFmtId="3">
      <sharedItems containsString="0" containsBlank="1" containsNumber="1" minValue="0" maxValue="474994"/>
    </cacheField>
    <cacheField name="new-Winter Undg SCH" numFmtId="3">
      <sharedItems containsString="0" containsBlank="1" containsNumber="1" minValue="0" maxValue="461281"/>
    </cacheField>
    <cacheField name="old-Spring Undg SCH" numFmtId="3">
      <sharedItems containsString="0" containsBlank="1" containsNumber="1" minValue="0" maxValue="1138714.2"/>
    </cacheField>
    <cacheField name="new-Spring Undg SCH" numFmtId="0">
      <sharedItems containsString="0" containsBlank="1" containsNumber="1" minValue="0" maxValue="1192175"/>
    </cacheField>
    <cacheField name="old-Summer Undg SCH" numFmtId="3">
      <sharedItems containsString="0" containsBlank="1" containsNumber="1" minValue="0" maxValue="368634"/>
    </cacheField>
    <cacheField name="new-Summer Undg SCH" numFmtId="0">
      <sharedItems containsString="0" containsBlank="1" containsNumber="1" minValue="0" maxValue="383948"/>
    </cacheField>
    <cacheField name="old-Fall Undg SCH" numFmtId="3">
      <sharedItems containsString="0" containsBlank="1" containsNumber="1" minValue="895" maxValue="1273635"/>
    </cacheField>
    <cacheField name="new-Fall Undg SCH" numFmtId="0">
      <sharedItems containsString="0" containsBlank="1" containsNumber="1" minValue="1072" maxValue="1340448"/>
    </cacheField>
    <cacheField name="Old-Total Undg SCH" numFmtId="3">
      <sharedItems containsSemiMixedTypes="0" containsString="0" containsNumber="1" minValue="0" maxValue="2780983.2"/>
    </cacheField>
    <cacheField name="Old-Total HS SCH" numFmtId="3">
      <sharedItems containsString="0" containsBlank="1" containsNumber="1" minValue="0" maxValue="231874"/>
    </cacheField>
    <cacheField name="Old-Total Undg SCH FTE" numFmtId="3">
      <sharedItems containsSemiMixedTypes="0" containsString="0" containsNumber="1" minValue="0" maxValue="92699.44"/>
    </cacheField>
    <cacheField name="New-Total Undg SCH" numFmtId="3">
      <sharedItems containsSemiMixedTypes="0" containsString="0" containsNumber="1" minValue="0" maxValue="2916571"/>
    </cacheField>
    <cacheField name="New-Total HS SCH" numFmtId="0">
      <sharedItems containsString="0" containsBlank="1" containsNumber="1" minValue="0" maxValue="253475"/>
    </cacheField>
    <cacheField name="New-Total Undg SCH FTE" numFmtId="3">
      <sharedItems containsSemiMixedTypes="0" containsString="0" containsNumber="1" minValue="0" maxValue="97219.03333333334"/>
    </cacheField>
    <cacheField name="old-Winter Undg CH" numFmtId="3">
      <sharedItems containsBlank="1" containsMixedTypes="1" containsNumber="1" containsInteger="1" minValue="0" maxValue="763905"/>
    </cacheField>
    <cacheField name="new-Winter Undg CH" numFmtId="3">
      <sharedItems containsString="0" containsBlank="1" containsNumber="1" containsInteger="1" minValue="0" maxValue="696050"/>
    </cacheField>
    <cacheField name="old-Spring Undg CH" numFmtId="3">
      <sharedItems containsBlank="1" containsMixedTypes="1" containsNumber="1" containsInteger="1" minValue="0" maxValue="2929078"/>
    </cacheField>
    <cacheField name="new-Spring Undg CH" numFmtId="3">
      <sharedItems containsString="0" containsBlank="1" containsNumber="1" minValue="0" maxValue="3045387"/>
    </cacheField>
    <cacheField name="old-Summer Undg CH" numFmtId="3">
      <sharedItems containsBlank="1" containsMixedTypes="1" containsNumber="1" containsInteger="1" minValue="0" maxValue="2714207"/>
    </cacheField>
    <cacheField name="new-Summer Undg CH" numFmtId="3">
      <sharedItems containsBlank="1" containsMixedTypes="1" containsNumber="1" containsInteger="1" minValue="0" maxValue="2796873"/>
    </cacheField>
    <cacheField name="old-Fall Undg CH" numFmtId="3">
      <sharedItems containsBlank="1" containsMixedTypes="1" containsNumber="1" minValue="0" maxValue="2818225"/>
    </cacheField>
    <cacheField name="new-Fall Undg CH" numFmtId="3">
      <sharedItems containsString="0" containsBlank="1" containsNumber="1" minValue="0" maxValue="2959024"/>
    </cacheField>
    <cacheField name="Old-Total Undg CH" numFmtId="3">
      <sharedItems containsSemiMixedTypes="0" containsString="0" containsNumber="1" minValue="0" maxValue="8461510"/>
    </cacheField>
    <cacheField name="Old-Total HS CH" numFmtId="3">
      <sharedItems containsString="0" containsBlank="1" containsNumber="1" containsInteger="1" minValue="0" maxValue="0"/>
    </cacheField>
    <cacheField name="Old-Total Undg CH FTE" numFmtId="3">
      <sharedItems containsSemiMixedTypes="0" containsString="0" containsNumber="1" minValue="0" maxValue="9401.677777777777"/>
    </cacheField>
    <cacheField name="New-Total Undg CH" numFmtId="3">
      <sharedItems containsSemiMixedTypes="0" containsString="0" containsNumber="1" minValue="0" maxValue="8801284"/>
    </cacheField>
    <cacheField name="New-Total HS CH" numFmtId="3">
      <sharedItems containsString="0" containsBlank="1" containsNumber="1" containsInteger="1" minValue="0" maxValue="131644"/>
    </cacheField>
    <cacheField name="New-Total Undg CH FTE" numFmtId="3">
      <sharedItems containsSemiMixedTypes="0" containsString="0" containsNumber="1" minValue="0" maxValue="9779.2044444444437"/>
    </cacheField>
    <cacheField name="old-Winter Grad SCH" numFmtId="3">
      <sharedItems containsString="0" containsBlank="1" containsNumber="1" containsInteger="1" minValue="0" maxValue="7082"/>
    </cacheField>
    <cacheField name="new-Winter Grad SCH" numFmtId="3">
      <sharedItems containsString="0" containsBlank="1" containsNumber="1" containsInteger="1" minValue="0" maxValue="6955"/>
    </cacheField>
    <cacheField name="old-Spring Grad SCH" numFmtId="3">
      <sharedItems containsString="0" containsBlank="1" containsNumber="1" minValue="0" maxValue="120571"/>
    </cacheField>
    <cacheField name="new-Spring Grad SCH" numFmtId="0">
      <sharedItems containsString="0" containsBlank="1" containsNumber="1" minValue="0" maxValue="123264"/>
    </cacheField>
    <cacheField name="old-Summer Grad SCH" numFmtId="3">
      <sharedItems containsString="0" containsBlank="1" containsNumber="1" minValue="0" maxValue="46026"/>
    </cacheField>
    <cacheField name="new-Summer Grad SCH" numFmtId="0">
      <sharedItems containsString="0" containsBlank="1" containsNumber="1" minValue="0" maxValue="47853"/>
    </cacheField>
    <cacheField name="old-Fall Grad SCH" numFmtId="3">
      <sharedItems containsString="0" containsBlank="1" containsNumber="1" minValue="0" maxValue="133166"/>
    </cacheField>
    <cacheField name="new-Fall Grad SCH" numFmtId="0">
      <sharedItems containsString="0" containsBlank="1" containsNumber="1" minValue="0" maxValue="134682"/>
    </cacheField>
    <cacheField name="Old-Total Grad SCH" numFmtId="3">
      <sharedItems containsSemiMixedTypes="0" containsString="0" containsNumber="1" minValue="0" maxValue="299763"/>
    </cacheField>
    <cacheField name="Old-Total Grad FTE" numFmtId="3">
      <sharedItems containsSemiMixedTypes="0" containsString="0" containsNumber="1" minValue="0" maxValue="12490.125"/>
    </cacheField>
    <cacheField name="New-Total Grad SCH" numFmtId="3">
      <sharedItems containsSemiMixedTypes="0" containsString="0" containsNumber="1" minValue="0" maxValue="305799"/>
    </cacheField>
    <cacheField name="New-Total Grad FTE" numFmtId="3">
      <sharedItems containsSemiMixedTypes="0" containsString="0" containsNumber="1" minValue="0" maxValue="12741.625"/>
    </cacheField>
    <cacheField name="Old Grand Total FTE" numFmtId="3">
      <sharedItems containsSemiMixedTypes="0" containsString="0" containsNumber="1" minValue="0" maxValue="92699.44"/>
    </cacheField>
    <cacheField name="New Grand Total FTE" numFmtId="3">
      <sharedItems containsSemiMixedTypes="0" containsString="0" containsNumber="1" minValue="0" maxValue="97219.03333333334"/>
    </cacheField>
    <cacheField name="% Change Undg SCH FTE" numFmtId="0" formula="IF('Old-Total Undg SCH FTE'&gt;0,((('New-Total Undg SCH FTE'-'Old-Total Undg SCH FTE')/'Old-Total Undg SCH FTE')*100),0)" databaseField="0"/>
    <cacheField name="% Change Grad FTE" numFmtId="0" formula="IF('Old-Total Grad FTE'&gt;0, ((('New-Total Grad FTE'-'Old-Total Grad FTE')/'Old-Total Grad FTE')*100),0)" databaseField="0"/>
    <cacheField name="% Change Undg CH FTE" numFmtId="0" formula="IF('Old-Total Undg CH FTE'&gt;0,((('New-Total Undg CH FTE'-'Old-Total Undg CH FTE')/'Old-Total Undg CH FTE')*100),0)" databaseField="0"/>
    <cacheField name="New-Total HSH" numFmtId="0" formula="'New-Total HS SCH'+'New-Total HS CH'" databaseField="0"/>
    <cacheField name="New-Total UGH" numFmtId="0" formula="'New-Total Undg SCH'+'New-Total Undg CH'" databaseField="0"/>
    <cacheField name="New-HS % of Total" numFmtId="0" formula="IF('New-Total UGH'&gt;0,('New-Total HSH'/'New-Total UGH'))" databaseField="0"/>
    <cacheField name="Old-HS % of Total" numFmtId="0" formula="IF('Old-Total HSH'&gt;0,('Old-Total HSH'/'Old-Total UGH'),)" databaseField="0"/>
    <cacheField name="Category2" numFmtId="0" databaseField="0">
      <fieldGroup base="3">
        <discretePr count="19">
          <x v="6"/>
          <x v="6"/>
          <x v="6"/>
          <x v="6"/>
          <x v="6"/>
          <x v="6"/>
          <x v="7"/>
          <x v="7"/>
          <x v="7"/>
          <x v="8"/>
          <x v="8"/>
          <x v="0"/>
          <x v="7"/>
          <x v="8"/>
          <x v="1"/>
          <x v="2"/>
          <x v="3"/>
          <x v="4"/>
          <x v="5"/>
        </discretePr>
        <groupItems count="9">
          <n v="15"/>
          <s v="8b"/>
          <s v="9b"/>
          <s v="10b"/>
          <s v="11b"/>
          <n v="11"/>
          <s v="Group1"/>
          <s v="Group2"/>
          <s v="Group3"/>
        </groupItems>
      </fieldGroup>
    </cacheField>
    <cacheField name="% Change Total FTE" numFmtId="0" formula="IF('Old Grand Total FTE'&gt;0, ((('New Grand Total FTE'-'Old Grand Total FTE')/'Old Grand Total FTE'))*100,0)" databaseField="0"/>
    <cacheField name="Old-Total UGH" numFmtId="0" formula="'Old-Total Undg SCH'+'Old-Total Undg CH'" databaseField="0"/>
    <cacheField name="Old-Total HSH" numFmtId="0" formula="'Old-Total HS SCH'+'Old-Total HS CH'" databaseField="0"/>
  </cacheFields>
</pivotCacheDefinition>
</file>

<file path=xl/pivotCache/pivotCacheDefinition2.xml><?xml version="1.0" encoding="utf-8"?>
<pivotCacheDefinition xmlns="http://schemas.openxmlformats.org/spreadsheetml/2006/main" xmlns:r="http://schemas.openxmlformats.org/officeDocument/2006/relationships" r:id="rId1" refreshedBy="jmarks" refreshedDate="40210.454148495373" createdVersion="3" refreshedVersion="3" minRefreshableVersion="3" recordCount="723">
  <cacheSource type="worksheet">
    <worksheetSource ref="A4:AL726" sheet="SCH Data"/>
  </cacheSource>
  <cacheFields count="50">
    <cacheField name="State" numFmtId="0">
      <sharedItems count="16">
        <s v="AL"/>
        <s v="AR"/>
        <s v="DE"/>
        <s v="FL"/>
        <s v="GA"/>
        <s v="KY"/>
        <s v="LA"/>
        <s v="MD"/>
        <s v="MS"/>
        <s v="NC"/>
        <s v="OK"/>
        <s v="SC"/>
        <s v="TN"/>
        <s v="TX"/>
        <s v="VA"/>
        <s v="WV"/>
      </sharedItems>
    </cacheField>
    <cacheField name="Institution" numFmtId="0">
      <sharedItems/>
    </cacheField>
    <cacheField name="IPEDS ID #" numFmtId="0">
      <sharedItems containsBlank="1" containsMixedTypes="1" containsNumber="1" containsInteger="1" minValue="100654" maxValue="447689"/>
    </cacheField>
    <cacheField name="Category" numFmtId="0">
      <sharedItems containsMixedTypes="1" containsNumber="1" containsInteger="1" minValue="1" maxValue="15" count="19">
        <n v="1"/>
        <n v="2"/>
        <n v="3"/>
        <n v="4"/>
        <n v="5"/>
        <n v="6"/>
        <n v="8"/>
        <n v="9"/>
        <n v="10"/>
        <n v="12"/>
        <n v="13"/>
        <n v="15"/>
        <n v="7"/>
        <n v="14"/>
        <s v="8b"/>
        <s v="9b"/>
        <s v="10b"/>
        <s v="11b"/>
        <n v="11" u="1"/>
      </sharedItems>
      <fieldGroup par="45"/>
    </cacheField>
    <cacheField name="Old-Term Code" numFmtId="3">
      <sharedItems containsBlank="1"/>
    </cacheField>
    <cacheField name="New-Term Code" numFmtId="3">
      <sharedItems containsBlank="1"/>
    </cacheField>
    <cacheField name="old-Winter Undg SCH" numFmtId="3">
      <sharedItems containsString="0" containsBlank="1" containsNumber="1" minValue="0" maxValue="474994"/>
    </cacheField>
    <cacheField name="new-Winter Undg SCH" numFmtId="3">
      <sharedItems containsString="0" containsBlank="1" containsNumber="1" minValue="0" maxValue="461281"/>
    </cacheField>
    <cacheField name="old-Spring Undg SCH" numFmtId="3">
      <sharedItems containsString="0" containsBlank="1" containsNumber="1" minValue="0" maxValue="1138714.2"/>
    </cacheField>
    <cacheField name="new-Spring Undg SCH" numFmtId="0">
      <sharedItems containsString="0" containsBlank="1" containsNumber="1" minValue="0" maxValue="1192175"/>
    </cacheField>
    <cacheField name="old-Summer Undg SCH" numFmtId="3">
      <sharedItems containsString="0" containsBlank="1" containsNumber="1" minValue="0" maxValue="368634"/>
    </cacheField>
    <cacheField name="new-Summer Undg SCH" numFmtId="0">
      <sharedItems containsString="0" containsBlank="1" containsNumber="1" minValue="0" maxValue="383948"/>
    </cacheField>
    <cacheField name="old-Fall Undg SCH" numFmtId="3">
      <sharedItems containsString="0" containsBlank="1" containsNumber="1" minValue="895" maxValue="1273635"/>
    </cacheField>
    <cacheField name="new-Fall Undg SCH" numFmtId="0">
      <sharedItems containsString="0" containsBlank="1" containsNumber="1" minValue="1072" maxValue="1340448"/>
    </cacheField>
    <cacheField name="Old-Total Undg SCH" numFmtId="3">
      <sharedItems containsSemiMixedTypes="0" containsString="0" containsNumber="1" minValue="0" maxValue="2780983.2"/>
    </cacheField>
    <cacheField name="Old-Total Undg SCH2" numFmtId="3">
      <sharedItems containsSemiMixedTypes="0" containsString="0" containsNumber="1" minValue="0" maxValue="2780983.2"/>
    </cacheField>
    <cacheField name="Old-Total HS SCH" numFmtId="3">
      <sharedItems containsBlank="1" containsMixedTypes="1" containsNumber="1" minValue="0" maxValue="231874"/>
    </cacheField>
    <cacheField name="Old-Total Undg SCH FTE" numFmtId="3">
      <sharedItems containsSemiMixedTypes="0" containsString="0" containsNumber="1" minValue="0" maxValue="92699.44"/>
    </cacheField>
    <cacheField name="New-Total Undg SCH" numFmtId="3">
      <sharedItems containsSemiMixedTypes="0" containsString="0" containsNumber="1" minValue="0" maxValue="2916571"/>
    </cacheField>
    <cacheField name="New-Total Undg SCH2" numFmtId="3">
      <sharedItems containsSemiMixedTypes="0" containsString="0" containsNumber="1" minValue="0" maxValue="2916571"/>
    </cacheField>
    <cacheField name="New-Total HS SCH" numFmtId="0">
      <sharedItems containsBlank="1" containsMixedTypes="1" containsNumber="1" minValue="0" maxValue="253475"/>
    </cacheField>
    <cacheField name="New-Total Undg SCH FTE" numFmtId="3">
      <sharedItems containsSemiMixedTypes="0" containsString="0" containsNumber="1" minValue="0" maxValue="97219.03333333334"/>
    </cacheField>
    <cacheField name="old-Winter Undg CH" numFmtId="3">
      <sharedItems containsBlank="1" containsMixedTypes="1" containsNumber="1" containsInteger="1" minValue="0" maxValue="763905"/>
    </cacheField>
    <cacheField name="new-Winter Undg CH" numFmtId="0">
      <sharedItems containsString="0" containsBlank="1" containsNumber="1" containsInteger="1" minValue="0" maxValue="696050"/>
    </cacheField>
    <cacheField name="old-Spring Undg CH" numFmtId="3">
      <sharedItems containsBlank="1" containsMixedTypes="1" containsNumber="1" containsInteger="1" minValue="0" maxValue="2929078"/>
    </cacheField>
    <cacheField name="new-Spring Undg CH" numFmtId="3">
      <sharedItems containsString="0" containsBlank="1" containsNumber="1" minValue="0" maxValue="3045387"/>
    </cacheField>
    <cacheField name="old-Summer Undg CH" numFmtId="3">
      <sharedItems containsBlank="1" containsMixedTypes="1" containsNumber="1" containsInteger="1" minValue="0" maxValue="2714207"/>
    </cacheField>
    <cacheField name="new-Summer Undg CH" numFmtId="3">
      <sharedItems containsBlank="1" containsMixedTypes="1" containsNumber="1" containsInteger="1" minValue="0" maxValue="2796873"/>
    </cacheField>
    <cacheField name="old-Fall Undg CH" numFmtId="3">
      <sharedItems containsBlank="1" containsMixedTypes="1" containsNumber="1" minValue="0" maxValue="2818225"/>
    </cacheField>
    <cacheField name="new-Fall Undg CH" numFmtId="3">
      <sharedItems containsString="0" containsBlank="1" containsNumber="1" minValue="0" maxValue="2959024"/>
    </cacheField>
    <cacheField name="Old-Total Undg CH" numFmtId="3">
      <sharedItems containsSemiMixedTypes="0" containsString="0" containsNumber="1" minValue="0" maxValue="8461510"/>
    </cacheField>
    <cacheField name="Old-Total Undg CH2" numFmtId="3">
      <sharedItems containsSemiMixedTypes="0" containsString="0" containsNumber="1" containsInteger="1" minValue="0" maxValue="95852"/>
    </cacheField>
    <cacheField name="Old-Total HS CH" numFmtId="3">
      <sharedItems containsBlank="1"/>
    </cacheField>
    <cacheField name="Old-Total Undg CH FTE" numFmtId="3">
      <sharedItems containsSemiMixedTypes="0" containsString="0" containsNumber="1" minValue="0" maxValue="9401.677777777777"/>
    </cacheField>
    <cacheField name="New-Total Undg CH" numFmtId="3">
      <sharedItems containsSemiMixedTypes="0" containsString="0" containsNumber="1" minValue="0" maxValue="8801284"/>
    </cacheField>
    <cacheField name="New-Total Undg CH2" numFmtId="3">
      <sharedItems containsSemiMixedTypes="0" containsString="0" containsNumber="1" minValue="0" maxValue="8801284"/>
    </cacheField>
    <cacheField name="New-Total HS CH" numFmtId="3">
      <sharedItems containsBlank="1" containsMixedTypes="1" containsNumber="1" containsInteger="1" minValue="0" maxValue="131644"/>
    </cacheField>
    <cacheField name="New-Total Undg CH FTE" numFmtId="3">
      <sharedItems containsSemiMixedTypes="0" containsString="0" containsNumber="1" minValue="0" maxValue="9779.2044444444437"/>
    </cacheField>
    <cacheField name="% Change Undg SCH FTE" numFmtId="0" formula="IF('Old-Total Undg SCH FTE'&gt;0,((('New-Total Undg SCH FTE'-'Old-Total Undg SCH FTE')/'Old-Total Undg SCH FTE')*100),0)" databaseField="0"/>
    <cacheField name="% Change Grad FTE" numFmtId="0" formula="IF(#NAME?&gt;0, (((#NAME?-#NAME?)/#NAME?)*100),0)" databaseField="0"/>
    <cacheField name="% Change Undg CH FTE" numFmtId="0" formula="IF('Old-Total Undg CH FTE'&gt;0,((('New-Total Undg CH FTE'-'Old-Total Undg CH FTE')/'Old-Total Undg CH FTE')*100),0)" databaseField="0"/>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HSH'&gt;0,('Old-Total HSH'/'Old-Total UGH'),)" databaseField="0"/>
    <cacheField name="Category2" numFmtId="0" databaseField="0">
      <fieldGroup base="3">
        <discretePr count="19">
          <x v="6"/>
          <x v="6"/>
          <x v="6"/>
          <x v="6"/>
          <x v="6"/>
          <x v="6"/>
          <x v="7"/>
          <x v="7"/>
          <x v="7"/>
          <x v="8"/>
          <x v="8"/>
          <x v="0"/>
          <x v="7"/>
          <x v="8"/>
          <x v="1"/>
          <x v="2"/>
          <x v="3"/>
          <x v="4"/>
          <x v="5"/>
        </discretePr>
        <groupItems count="9">
          <n v="15"/>
          <s v="8b"/>
          <s v="9b"/>
          <s v="10b"/>
          <s v="11b"/>
          <n v="11"/>
          <s v="Group1"/>
          <s v="Group2"/>
          <s v="Group3"/>
        </groupItems>
      </fieldGroup>
    </cacheField>
    <cacheField name="% Change Total FTE" numFmtId="0" formula="IF(#NAME?&gt;0, (((#NAME?-#NAME?)/#NAME?))*100,0)" databaseField="0"/>
    <cacheField name="Old-Total UGH" numFmtId="0" formula="'Old-Total Undg SCH2'+'Old-Total Undg CH2'" databaseField="0"/>
    <cacheField name="Old-Total HSH" numFmtId="0" formula="'Old-Total HS SCH'+'Old-Total HS CH'" databaseField="0"/>
    <cacheField name="HS % Change" numFmtId="0" formula=" IF('Old-Total HSH'&gt;0,'New-HS % of Total'-'Old-HS % of Total',&quot;—&quot;)" databaseField="0"/>
  </cacheFields>
</pivotCacheDefinition>
</file>

<file path=xl/pivotCache/pivotCacheRecords1.xml><?xml version="1.0" encoding="utf-8"?>
<pivotCacheRecords xmlns="http://schemas.openxmlformats.org/spreadsheetml/2006/main" xmlns:r="http://schemas.openxmlformats.org/officeDocument/2006/relationships" count="723">
  <r>
    <x v="0"/>
    <s v="Auburn University  "/>
    <n v="100858"/>
    <x v="0"/>
    <s v="sem"/>
    <s v="sem"/>
    <m/>
    <m/>
    <n v="241811"/>
    <n v="246206"/>
    <n v="61511"/>
    <n v="58930"/>
    <n v="266315"/>
    <n v="272230"/>
    <n v="569637"/>
    <m/>
    <n v="18987.900000000001"/>
    <n v="577366"/>
    <m/>
    <n v="19245.533333333333"/>
    <m/>
    <m/>
    <m/>
    <m/>
    <m/>
    <m/>
    <m/>
    <m/>
    <n v="0"/>
    <m/>
    <n v="0"/>
    <n v="0"/>
    <m/>
    <n v="0"/>
    <m/>
    <m/>
    <n v="30870"/>
    <n v="32245"/>
    <n v="15760"/>
    <n v="16517"/>
    <n v="33144"/>
    <n v="35059"/>
    <n v="79774"/>
    <n v="3323.9166666666665"/>
    <n v="83821"/>
    <n v="3492.5416666666665"/>
    <n v="22311.816666666669"/>
    <n v="22738.075000000001"/>
  </r>
  <r>
    <x v="0"/>
    <s v="University of Alabama "/>
    <n v="100751"/>
    <x v="0"/>
    <s v="sem"/>
    <s v="sem"/>
    <m/>
    <m/>
    <n v="249335"/>
    <n v="269582"/>
    <n v="58803"/>
    <n v="63093"/>
    <n v="285548"/>
    <n v="303425"/>
    <n v="593686"/>
    <m/>
    <n v="19789.533333333333"/>
    <n v="636100"/>
    <m/>
    <n v="21203.333333333332"/>
    <m/>
    <m/>
    <m/>
    <m/>
    <m/>
    <m/>
    <m/>
    <m/>
    <n v="0"/>
    <m/>
    <n v="0"/>
    <n v="0"/>
    <m/>
    <n v="0"/>
    <m/>
    <m/>
    <n v="37394"/>
    <n v="38044"/>
    <n v="13654"/>
    <n v="12411"/>
    <n v="39544"/>
    <n v="38134"/>
    <n v="90592"/>
    <n v="3774.6666666666665"/>
    <n v="88589"/>
    <n v="3691.2083333333335"/>
    <n v="23564.2"/>
    <n v="24894.541666666664"/>
  </r>
  <r>
    <x v="0"/>
    <s v="University of Alabama at Birmingham"/>
    <n v="100663"/>
    <x v="0"/>
    <s v="sem"/>
    <s v="sem"/>
    <m/>
    <m/>
    <n v="110233"/>
    <n v="106612"/>
    <n v="38486"/>
    <n v="32388"/>
    <n v="118058"/>
    <n v="112683"/>
    <n v="266777"/>
    <m/>
    <n v="8892.5666666666675"/>
    <n v="251683"/>
    <m/>
    <n v="8389.4333333333325"/>
    <m/>
    <m/>
    <m/>
    <m/>
    <m/>
    <m/>
    <m/>
    <m/>
    <n v="0"/>
    <m/>
    <n v="0"/>
    <n v="0"/>
    <m/>
    <n v="0"/>
    <m/>
    <m/>
    <n v="15555"/>
    <n v="15721"/>
    <n v="10710"/>
    <n v="11153"/>
    <n v="15804"/>
    <n v="16398"/>
    <n v="42069"/>
    <n v="1752.875"/>
    <n v="43272"/>
    <n v="1803"/>
    <n v="10645.441666666668"/>
    <n v="10192.433333333332"/>
  </r>
  <r>
    <x v="0"/>
    <s v="University of Alabama in Huntsville"/>
    <n v="100706"/>
    <x v="1"/>
    <s v="sem"/>
    <s v="sem"/>
    <m/>
    <m/>
    <n v="61648"/>
    <n v="62323"/>
    <n v="17856"/>
    <n v="17644"/>
    <n v="67154"/>
    <n v="69817"/>
    <n v="146658"/>
    <m/>
    <n v="4888.6000000000004"/>
    <n v="149784"/>
    <m/>
    <n v="4992.8"/>
    <m/>
    <m/>
    <m/>
    <m/>
    <m/>
    <m/>
    <m/>
    <m/>
    <n v="0"/>
    <m/>
    <n v="0"/>
    <n v="0"/>
    <m/>
    <n v="0"/>
    <m/>
    <m/>
    <n v="7561"/>
    <n v="8068"/>
    <n v="4241"/>
    <n v="4341"/>
    <n v="8894"/>
    <n v="8837"/>
    <n v="20696"/>
    <n v="862.33333333333337"/>
    <n v="21246"/>
    <n v="885.25"/>
    <n v="5750.9333333333334"/>
    <n v="5878.05"/>
  </r>
  <r>
    <x v="0"/>
    <s v="Alabama Agricultural &amp; Mechanical University"/>
    <n v="100654"/>
    <x v="2"/>
    <s v="sem"/>
    <s v="sem"/>
    <m/>
    <m/>
    <n v="64435"/>
    <n v="61417"/>
    <n v="11340"/>
    <n v="9079"/>
    <n v="67615"/>
    <n v="64735"/>
    <n v="143390"/>
    <m/>
    <n v="4779.666666666667"/>
    <n v="135231"/>
    <m/>
    <n v="4507.7"/>
    <m/>
    <m/>
    <m/>
    <m/>
    <m/>
    <m/>
    <m/>
    <m/>
    <n v="0"/>
    <m/>
    <n v="0"/>
    <n v="0"/>
    <m/>
    <n v="0"/>
    <m/>
    <m/>
    <n v="7707"/>
    <n v="6964"/>
    <n v="4017"/>
    <n v="3804"/>
    <n v="7014"/>
    <n v="6148"/>
    <n v="18738"/>
    <n v="780.75"/>
    <n v="16916"/>
    <n v="704.83333333333337"/>
    <n v="5560.416666666667"/>
    <n v="5212.5333333333328"/>
  </r>
  <r>
    <x v="0"/>
    <s v="Jacksonville State University "/>
    <n v="101480"/>
    <x v="2"/>
    <s v="sem"/>
    <s v="sem"/>
    <m/>
    <m/>
    <n v="82767"/>
    <n v="86108"/>
    <n v="23636"/>
    <n v="24175"/>
    <n v="91859"/>
    <n v="95212"/>
    <n v="198262"/>
    <m/>
    <n v="6608.7333333333336"/>
    <n v="205495"/>
    <m/>
    <n v="6849.833333333333"/>
    <m/>
    <m/>
    <m/>
    <m/>
    <m/>
    <m/>
    <m/>
    <m/>
    <n v="0"/>
    <m/>
    <n v="0"/>
    <n v="0"/>
    <m/>
    <n v="0"/>
    <m/>
    <m/>
    <n v="8573"/>
    <n v="8244"/>
    <n v="6762"/>
    <n v="6629"/>
    <n v="8402"/>
    <n v="6879"/>
    <n v="23737"/>
    <n v="989.04166666666663"/>
    <n v="21752"/>
    <n v="906.33333333333337"/>
    <n v="7597.7750000000005"/>
    <n v="7756.1666666666661"/>
  </r>
  <r>
    <x v="0"/>
    <s v="University of South Alabama"/>
    <n v="102094"/>
    <x v="2"/>
    <s v="sem"/>
    <s v="sem"/>
    <m/>
    <m/>
    <n v="103330"/>
    <n v="107967"/>
    <n v="26579"/>
    <n v="29063"/>
    <n v="116715"/>
    <n v="121086"/>
    <n v="246624"/>
    <m/>
    <n v="8220.7999999999993"/>
    <n v="258116"/>
    <m/>
    <n v="8603.8666666666668"/>
    <m/>
    <m/>
    <m/>
    <m/>
    <m/>
    <m/>
    <m/>
    <m/>
    <n v="0"/>
    <m/>
    <n v="0"/>
    <n v="0"/>
    <m/>
    <n v="0"/>
    <m/>
    <m/>
    <n v="9555"/>
    <n v="8213"/>
    <n v="6035"/>
    <n v="5188"/>
    <n v="9085"/>
    <n v="7729"/>
    <n v="24675"/>
    <n v="1028.125"/>
    <n v="21130"/>
    <n v="880.41666666666663"/>
    <n v="9248.9249999999993"/>
    <n v="9484.2833333333328"/>
  </r>
  <r>
    <x v="0"/>
    <s v="Alabama State University "/>
    <n v="100724"/>
    <x v="3"/>
    <s v="sem"/>
    <s v="sem"/>
    <m/>
    <m/>
    <n v="58593"/>
    <n v="62082"/>
    <n v="12139"/>
    <n v="13211"/>
    <n v="65793"/>
    <n v="65251"/>
    <n v="136525"/>
    <m/>
    <n v="4550.833333333333"/>
    <n v="140544"/>
    <m/>
    <n v="4684.8"/>
    <m/>
    <m/>
    <m/>
    <m/>
    <m/>
    <m/>
    <m/>
    <m/>
    <n v="0"/>
    <m/>
    <n v="0"/>
    <n v="0"/>
    <m/>
    <n v="0"/>
    <m/>
    <m/>
    <n v="6295"/>
    <n v="6574"/>
    <n v="4626"/>
    <n v="4821"/>
    <n v="6256"/>
    <n v="5921"/>
    <n v="17177"/>
    <n v="715.70833333333337"/>
    <n v="17316"/>
    <n v="721.5"/>
    <n v="5266.5416666666661"/>
    <n v="5406.3"/>
  </r>
  <r>
    <x v="0"/>
    <s v="Auburn University at Montgomery"/>
    <n v="100830"/>
    <x v="3"/>
    <s v="sem"/>
    <s v="sem"/>
    <m/>
    <m/>
    <n v="45309"/>
    <n v="46131"/>
    <n v="16266"/>
    <n v="16461"/>
    <n v="49076"/>
    <n v="51167"/>
    <n v="110651"/>
    <m/>
    <n v="3688.3666666666668"/>
    <n v="113759"/>
    <m/>
    <n v="3791.9666666666667"/>
    <m/>
    <m/>
    <m/>
    <m/>
    <m/>
    <m/>
    <m/>
    <m/>
    <n v="0"/>
    <m/>
    <n v="0"/>
    <n v="0"/>
    <m/>
    <n v="0"/>
    <m/>
    <m/>
    <n v="4684"/>
    <n v="4918"/>
    <n v="3153"/>
    <n v="3053"/>
    <n v="4955"/>
    <n v="5353"/>
    <n v="12792"/>
    <n v="533"/>
    <n v="13324"/>
    <n v="555.16666666666663"/>
    <n v="4221.3666666666668"/>
    <n v="4347.1333333333332"/>
  </r>
  <r>
    <x v="0"/>
    <s v="Troy University"/>
    <n v="102368"/>
    <x v="3"/>
    <s v="sem"/>
    <s v="sem"/>
    <m/>
    <m/>
    <n v="127813"/>
    <n v="125365"/>
    <n v="38008"/>
    <n v="35773"/>
    <n v="137988"/>
    <n v="142550"/>
    <n v="303809"/>
    <m/>
    <n v="10126.966666666667"/>
    <n v="303688"/>
    <m/>
    <n v="10122.933333333332"/>
    <m/>
    <m/>
    <m/>
    <m/>
    <m/>
    <m/>
    <m/>
    <m/>
    <n v="0"/>
    <m/>
    <n v="0"/>
    <n v="0"/>
    <m/>
    <n v="0"/>
    <m/>
    <m/>
    <n v="18689"/>
    <n v="24503"/>
    <n v="10170"/>
    <n v="9352"/>
    <n v="18888"/>
    <n v="18935"/>
    <n v="47747"/>
    <n v="1989.4583333333333"/>
    <n v="52790"/>
    <n v="2199.5833333333335"/>
    <n v="12116.425000000001"/>
    <n v="12322.516666666666"/>
  </r>
  <r>
    <x v="0"/>
    <s v="University of North Alabama"/>
    <n v="101879"/>
    <x v="3"/>
    <s v="sem"/>
    <s v="sem"/>
    <m/>
    <m/>
    <n v="66006"/>
    <n v="67070"/>
    <n v="13749"/>
    <n v="13519"/>
    <n v="73381"/>
    <n v="72521"/>
    <n v="153136"/>
    <m/>
    <n v="5104.5333333333338"/>
    <n v="153110"/>
    <m/>
    <n v="5103.666666666667"/>
    <m/>
    <m/>
    <m/>
    <m/>
    <m/>
    <m/>
    <m/>
    <m/>
    <n v="0"/>
    <m/>
    <n v="0"/>
    <n v="0"/>
    <m/>
    <n v="0"/>
    <m/>
    <m/>
    <n v="8010"/>
    <n v="9596"/>
    <n v="5183"/>
    <n v="5952"/>
    <n v="8620"/>
    <n v="7839"/>
    <n v="21813"/>
    <n v="908.875"/>
    <n v="23387"/>
    <n v="974.45833333333337"/>
    <n v="6013.4083333333338"/>
    <n v="6078.125"/>
  </r>
  <r>
    <x v="0"/>
    <s v="University of Montevallo"/>
    <n v="101709"/>
    <x v="4"/>
    <s v="sem"/>
    <s v="sem"/>
    <m/>
    <m/>
    <n v="29956"/>
    <n v="30842"/>
    <n v="6240"/>
    <n v="6302"/>
    <n v="33726"/>
    <n v="34234"/>
    <n v="69922"/>
    <m/>
    <n v="2330.7333333333331"/>
    <n v="71378"/>
    <m/>
    <n v="2379.2666666666669"/>
    <m/>
    <m/>
    <m/>
    <m/>
    <m/>
    <m/>
    <m/>
    <m/>
    <n v="0"/>
    <m/>
    <n v="0"/>
    <n v="0"/>
    <m/>
    <n v="0"/>
    <m/>
    <m/>
    <n v="2730"/>
    <n v="2544"/>
    <n v="2685"/>
    <n v="2335"/>
    <n v="2831"/>
    <n v="2852"/>
    <n v="8246"/>
    <n v="343.58333333333331"/>
    <n v="7731"/>
    <n v="322.125"/>
    <n v="2674.3166666666666"/>
    <n v="2701.3916666666669"/>
  </r>
  <r>
    <x v="0"/>
    <s v="University of West Alabama"/>
    <n v="101587"/>
    <x v="4"/>
    <s v="sem"/>
    <s v="sem"/>
    <m/>
    <m/>
    <n v="21100"/>
    <n v="20971"/>
    <n v="5513"/>
    <n v="5664"/>
    <n v="23357"/>
    <n v="23435"/>
    <n v="49970"/>
    <m/>
    <n v="1665.6666666666667"/>
    <n v="50070"/>
    <m/>
    <n v="1669"/>
    <m/>
    <m/>
    <m/>
    <m/>
    <m/>
    <m/>
    <m/>
    <m/>
    <n v="0"/>
    <m/>
    <n v="0"/>
    <n v="0"/>
    <m/>
    <n v="0"/>
    <m/>
    <m/>
    <n v="9003"/>
    <n v="10646"/>
    <n v="10446"/>
    <n v="12468"/>
    <n v="9605"/>
    <n v="18708"/>
    <n v="29054"/>
    <n v="1210.5833333333333"/>
    <n v="41822"/>
    <n v="1742.5833333333333"/>
    <n v="2876.25"/>
    <n v="3411.583333333333"/>
  </r>
  <r>
    <x v="0"/>
    <s v="Athens State University"/>
    <n v="100812"/>
    <x v="5"/>
    <s v="sem"/>
    <s v="sem"/>
    <m/>
    <m/>
    <n v="26504"/>
    <n v="28160"/>
    <n v="18041"/>
    <n v="19732"/>
    <n v="29034"/>
    <n v="31799"/>
    <n v="73579"/>
    <m/>
    <n v="2452.6333333333332"/>
    <n v="79691"/>
    <m/>
    <n v="2656.3666666666668"/>
    <m/>
    <m/>
    <m/>
    <m/>
    <m/>
    <m/>
    <m/>
    <m/>
    <n v="0"/>
    <m/>
    <n v="0"/>
    <n v="0"/>
    <m/>
    <n v="0"/>
    <m/>
    <m/>
    <m/>
    <m/>
    <m/>
    <m/>
    <m/>
    <m/>
    <n v="0"/>
    <n v="0"/>
    <n v="0"/>
    <n v="0"/>
    <n v="2452.6333333333332"/>
    <n v="2656.3666666666668"/>
  </r>
  <r>
    <x v="0"/>
    <s v="Jefferson State Community College"/>
    <n v="101505"/>
    <x v="6"/>
    <s v="sem"/>
    <s v="sem"/>
    <m/>
    <m/>
    <n v="63838"/>
    <n v="65302"/>
    <n v="34714"/>
    <n v="34415"/>
    <n v="68570"/>
    <n v="70740"/>
    <n v="167122"/>
    <m/>
    <n v="5570.7333333333336"/>
    <n v="170457"/>
    <m/>
    <n v="5681.9"/>
    <m/>
    <m/>
    <m/>
    <m/>
    <m/>
    <m/>
    <m/>
    <m/>
    <n v="0"/>
    <m/>
    <n v="0"/>
    <n v="0"/>
    <m/>
    <n v="0"/>
    <m/>
    <m/>
    <m/>
    <m/>
    <m/>
    <m/>
    <m/>
    <m/>
    <n v="0"/>
    <n v="0"/>
    <n v="0"/>
    <n v="0"/>
    <n v="5570.7333333333336"/>
    <n v="5681.9"/>
  </r>
  <r>
    <x v="0"/>
    <s v="John C. Calhoun State Community College "/>
    <n v="101514"/>
    <x v="6"/>
    <s v="sem"/>
    <s v="sem"/>
    <m/>
    <m/>
    <n v="72232"/>
    <n v="80505"/>
    <n v="31164"/>
    <n v="34630"/>
    <n v="82799"/>
    <n v="89719"/>
    <n v="186195"/>
    <m/>
    <n v="6206.5"/>
    <n v="204854"/>
    <m/>
    <n v="6828.4666666666662"/>
    <m/>
    <m/>
    <m/>
    <m/>
    <m/>
    <m/>
    <m/>
    <m/>
    <n v="0"/>
    <m/>
    <n v="0"/>
    <n v="0"/>
    <m/>
    <n v="0"/>
    <m/>
    <m/>
    <m/>
    <m/>
    <m/>
    <m/>
    <m/>
    <m/>
    <n v="0"/>
    <n v="0"/>
    <n v="0"/>
    <n v="0"/>
    <n v="6206.5"/>
    <n v="6828.4666666666662"/>
  </r>
  <r>
    <x v="0"/>
    <s v="Bevill State Community College"/>
    <n v="102429"/>
    <x v="7"/>
    <s v="sem"/>
    <s v="sem"/>
    <m/>
    <m/>
    <n v="42196"/>
    <n v="42974"/>
    <n v="19416"/>
    <n v="19778"/>
    <n v="44396"/>
    <n v="43155"/>
    <n v="106008"/>
    <m/>
    <n v="3533.6"/>
    <n v="105907"/>
    <m/>
    <n v="3530.2333333333331"/>
    <m/>
    <m/>
    <m/>
    <m/>
    <m/>
    <m/>
    <m/>
    <m/>
    <n v="0"/>
    <m/>
    <n v="0"/>
    <n v="0"/>
    <m/>
    <n v="0"/>
    <m/>
    <m/>
    <m/>
    <m/>
    <m/>
    <m/>
    <m/>
    <m/>
    <n v="0"/>
    <n v="0"/>
    <n v="0"/>
    <n v="0"/>
    <n v="3533.6"/>
    <n v="3530.2333333333331"/>
  </r>
  <r>
    <x v="0"/>
    <s v="Bishop State Community College"/>
    <n v="102030"/>
    <x v="7"/>
    <s v="sem"/>
    <s v="sem"/>
    <m/>
    <m/>
    <n v="32382"/>
    <n v="22251"/>
    <n v="10927"/>
    <n v="8717"/>
    <n v="24422"/>
    <n v="27823"/>
    <n v="67731"/>
    <m/>
    <n v="2257.6999999999998"/>
    <n v="58791"/>
    <m/>
    <n v="1959.7"/>
    <m/>
    <m/>
    <m/>
    <m/>
    <m/>
    <m/>
    <m/>
    <m/>
    <n v="0"/>
    <m/>
    <n v="0"/>
    <n v="0"/>
    <m/>
    <n v="0"/>
    <m/>
    <m/>
    <m/>
    <m/>
    <m/>
    <m/>
    <m/>
    <m/>
    <n v="0"/>
    <n v="0"/>
    <n v="0"/>
    <n v="0"/>
    <n v="2257.6999999999998"/>
    <n v="1959.7"/>
  </r>
  <r>
    <x v="0"/>
    <s v="Gadsden State Community College"/>
    <n v="101240"/>
    <x v="7"/>
    <s v="sem"/>
    <s v="sem"/>
    <m/>
    <m/>
    <n v="52629"/>
    <n v="53216"/>
    <n v="25962"/>
    <n v="27380"/>
    <n v="56900"/>
    <n v="61052"/>
    <n v="135491"/>
    <m/>
    <n v="4516.3666666666668"/>
    <n v="141648"/>
    <m/>
    <n v="4721.6000000000004"/>
    <m/>
    <m/>
    <m/>
    <m/>
    <m/>
    <m/>
    <m/>
    <m/>
    <n v="0"/>
    <m/>
    <n v="0"/>
    <n v="0"/>
    <m/>
    <n v="0"/>
    <m/>
    <m/>
    <m/>
    <m/>
    <m/>
    <m/>
    <m/>
    <m/>
    <n v="0"/>
    <n v="0"/>
    <n v="0"/>
    <n v="0"/>
    <n v="4516.3666666666668"/>
    <n v="4721.6000000000004"/>
  </r>
  <r>
    <x v="0"/>
    <s v="George C. Wallace State Community College - Dothan"/>
    <n v="101286"/>
    <x v="7"/>
    <s v="sem"/>
    <s v="sem"/>
    <m/>
    <m/>
    <n v="33539"/>
    <n v="35225"/>
    <n v="19963"/>
    <n v="21510"/>
    <n v="37750"/>
    <n v="40573"/>
    <n v="91252"/>
    <m/>
    <n v="3041.7333333333331"/>
    <n v="97308"/>
    <m/>
    <n v="3243.6"/>
    <m/>
    <m/>
    <m/>
    <m/>
    <m/>
    <m/>
    <m/>
    <m/>
    <n v="0"/>
    <m/>
    <n v="0"/>
    <n v="0"/>
    <m/>
    <n v="0"/>
    <m/>
    <m/>
    <m/>
    <m/>
    <m/>
    <m/>
    <m/>
    <m/>
    <n v="0"/>
    <n v="0"/>
    <n v="0"/>
    <n v="0"/>
    <n v="3041.7333333333331"/>
    <n v="3243.6"/>
  </r>
  <r>
    <x v="0"/>
    <s v="James H. Faulkner State Community College"/>
    <n v="101161"/>
    <x v="7"/>
    <s v="sem"/>
    <s v="sem"/>
    <m/>
    <m/>
    <n v="34990"/>
    <n v="37198"/>
    <n v="15113"/>
    <n v="16171"/>
    <n v="39690"/>
    <n v="39679"/>
    <n v="89793"/>
    <m/>
    <n v="2993.1"/>
    <n v="93048"/>
    <m/>
    <n v="3101.6"/>
    <m/>
    <m/>
    <m/>
    <m/>
    <m/>
    <m/>
    <m/>
    <m/>
    <n v="0"/>
    <m/>
    <n v="0"/>
    <n v="0"/>
    <m/>
    <n v="0"/>
    <m/>
    <m/>
    <m/>
    <m/>
    <m/>
    <m/>
    <m/>
    <m/>
    <n v="0"/>
    <n v="0"/>
    <n v="0"/>
    <n v="0"/>
    <n v="2993.1"/>
    <n v="3101.6"/>
  </r>
  <r>
    <x v="0"/>
    <s v="Lawson State Community College "/>
    <n v="101569"/>
    <x v="7"/>
    <s v="sem"/>
    <s v="sem"/>
    <m/>
    <m/>
    <n v="29165"/>
    <n v="31205"/>
    <n v="14653"/>
    <n v="14691"/>
    <n v="33777"/>
    <n v="36591"/>
    <n v="77595"/>
    <m/>
    <n v="2586.5"/>
    <n v="82487"/>
    <m/>
    <n v="2749.5666666666666"/>
    <m/>
    <m/>
    <m/>
    <m/>
    <m/>
    <m/>
    <m/>
    <m/>
    <n v="0"/>
    <m/>
    <n v="0"/>
    <n v="0"/>
    <m/>
    <n v="0"/>
    <m/>
    <m/>
    <m/>
    <m/>
    <m/>
    <m/>
    <m/>
    <m/>
    <n v="0"/>
    <n v="0"/>
    <n v="0"/>
    <n v="0"/>
    <n v="2586.5"/>
    <n v="2749.5666666666666"/>
  </r>
  <r>
    <x v="0"/>
    <s v="Northwest-Shoals Community College"/>
    <n v="101736"/>
    <x v="7"/>
    <s v="sem"/>
    <s v="sem"/>
    <m/>
    <m/>
    <n v="34123"/>
    <n v="34598"/>
    <n v="13324"/>
    <n v="13352"/>
    <n v="37039"/>
    <n v="39307"/>
    <n v="84486"/>
    <m/>
    <n v="2816.2"/>
    <n v="87257"/>
    <m/>
    <n v="2908.5666666666666"/>
    <m/>
    <m/>
    <m/>
    <m/>
    <m/>
    <m/>
    <m/>
    <m/>
    <n v="0"/>
    <m/>
    <n v="0"/>
    <n v="0"/>
    <m/>
    <n v="0"/>
    <m/>
    <m/>
    <m/>
    <m/>
    <m/>
    <m/>
    <m/>
    <m/>
    <n v="0"/>
    <n v="0"/>
    <n v="0"/>
    <n v="0"/>
    <n v="2816.2"/>
    <n v="2908.5666666666666"/>
  </r>
  <r>
    <x v="0"/>
    <s v="Shelton State Community College"/>
    <n v="102067"/>
    <x v="7"/>
    <s v="sem"/>
    <s v="sem"/>
    <m/>
    <m/>
    <n v="52802"/>
    <n v="48539"/>
    <n v="25009"/>
    <n v="24349"/>
    <n v="54698"/>
    <n v="57506"/>
    <n v="132509"/>
    <m/>
    <n v="4416.9666666666662"/>
    <n v="130394"/>
    <m/>
    <n v="4346.4666666666662"/>
    <m/>
    <m/>
    <m/>
    <m/>
    <m/>
    <m/>
    <m/>
    <m/>
    <n v="0"/>
    <m/>
    <n v="0"/>
    <n v="0"/>
    <m/>
    <n v="0"/>
    <m/>
    <m/>
    <m/>
    <m/>
    <m/>
    <m/>
    <m/>
    <m/>
    <n v="0"/>
    <n v="0"/>
    <n v="0"/>
    <n v="0"/>
    <n v="4416.9666666666662"/>
    <n v="4346.4666666666662"/>
  </r>
  <r>
    <x v="0"/>
    <s v="Southern Union State Community College"/>
    <n v="251260"/>
    <x v="7"/>
    <s v="sem"/>
    <s v="sem"/>
    <m/>
    <m/>
    <n v="49353"/>
    <n v="50763"/>
    <n v="22188"/>
    <n v="23506"/>
    <n v="55327"/>
    <n v="55765"/>
    <n v="126868"/>
    <m/>
    <n v="4228.9333333333334"/>
    <n v="130034"/>
    <m/>
    <n v="4334.4666666666662"/>
    <m/>
    <m/>
    <m/>
    <m/>
    <m/>
    <m/>
    <m/>
    <m/>
    <n v="0"/>
    <m/>
    <n v="0"/>
    <n v="0"/>
    <m/>
    <n v="0"/>
    <m/>
    <m/>
    <m/>
    <m/>
    <m/>
    <m/>
    <m/>
    <m/>
    <n v="0"/>
    <n v="0"/>
    <n v="0"/>
    <n v="0"/>
    <n v="4228.9333333333334"/>
    <n v="4334.4666666666662"/>
  </r>
  <r>
    <x v="0"/>
    <s v="Wallace Community College - Hanceville"/>
    <n v="101295"/>
    <x v="7"/>
    <s v="sem"/>
    <s v="sem"/>
    <m/>
    <m/>
    <n v="53353"/>
    <n v="56083"/>
    <n v="24411"/>
    <n v="25950"/>
    <n v="56596"/>
    <n v="59763"/>
    <n v="134360"/>
    <m/>
    <n v="4478.666666666667"/>
    <n v="141796"/>
    <m/>
    <n v="4726.5333333333338"/>
    <m/>
    <m/>
    <m/>
    <m/>
    <m/>
    <m/>
    <m/>
    <m/>
    <n v="0"/>
    <m/>
    <n v="0"/>
    <n v="0"/>
    <m/>
    <n v="0"/>
    <m/>
    <m/>
    <m/>
    <m/>
    <m/>
    <m/>
    <m/>
    <m/>
    <n v="0"/>
    <n v="0"/>
    <n v="0"/>
    <n v="0"/>
    <n v="4478.666666666667"/>
    <n v="4726.5333333333338"/>
  </r>
  <r>
    <x v="0"/>
    <s v="Alabama Southern Community College"/>
    <n v="101949"/>
    <x v="8"/>
    <s v="sem"/>
    <s v="sem"/>
    <m/>
    <m/>
    <n v="13598"/>
    <n v="12753"/>
    <n v="5779"/>
    <n v="5880"/>
    <n v="13771"/>
    <n v="14803"/>
    <n v="33148"/>
    <m/>
    <n v="1104.9333333333334"/>
    <n v="33436"/>
    <m/>
    <n v="1114.5333333333333"/>
    <m/>
    <m/>
    <m/>
    <m/>
    <m/>
    <m/>
    <m/>
    <m/>
    <n v="0"/>
    <m/>
    <n v="0"/>
    <n v="0"/>
    <m/>
    <n v="0"/>
    <m/>
    <m/>
    <m/>
    <m/>
    <m/>
    <m/>
    <m/>
    <m/>
    <n v="0"/>
    <n v="0"/>
    <n v="0"/>
    <n v="0"/>
    <n v="1104.9333333333334"/>
    <n v="1114.5333333333333"/>
  </r>
  <r>
    <x v="0"/>
    <s v="Central Alabama Community College"/>
    <n v="100760"/>
    <x v="8"/>
    <s v="sem"/>
    <s v="sem"/>
    <m/>
    <m/>
    <n v="22696"/>
    <n v="22591"/>
    <n v="11288"/>
    <n v="10852"/>
    <n v="23083"/>
    <n v="23790"/>
    <n v="57067"/>
    <m/>
    <n v="1902.2333333333333"/>
    <n v="57233"/>
    <m/>
    <n v="1907.7666666666667"/>
    <m/>
    <m/>
    <m/>
    <m/>
    <m/>
    <m/>
    <m/>
    <m/>
    <n v="0"/>
    <m/>
    <n v="0"/>
    <n v="0"/>
    <m/>
    <n v="0"/>
    <m/>
    <m/>
    <m/>
    <m/>
    <m/>
    <m/>
    <m/>
    <m/>
    <n v="0"/>
    <n v="0"/>
    <n v="0"/>
    <n v="0"/>
    <n v="1902.2333333333333"/>
    <n v="1907.7666666666667"/>
  </r>
  <r>
    <x v="0"/>
    <s v="Chattahoochee Valley State Community College "/>
    <n v="101028"/>
    <x v="8"/>
    <s v="sem"/>
    <s v="sem"/>
    <m/>
    <m/>
    <n v="18620"/>
    <n v="16915"/>
    <n v="7636"/>
    <n v="7416"/>
    <n v="17777"/>
    <n v="18628"/>
    <n v="44033"/>
    <m/>
    <n v="1467.7666666666667"/>
    <n v="42959"/>
    <m/>
    <n v="1431.9666666666667"/>
    <m/>
    <m/>
    <m/>
    <m/>
    <m/>
    <m/>
    <m/>
    <m/>
    <n v="0"/>
    <m/>
    <n v="0"/>
    <n v="0"/>
    <m/>
    <n v="0"/>
    <m/>
    <m/>
    <m/>
    <m/>
    <m/>
    <m/>
    <m/>
    <m/>
    <n v="0"/>
    <n v="0"/>
    <n v="0"/>
    <n v="0"/>
    <n v="1467.7666666666667"/>
    <n v="1431.9666666666667"/>
  </r>
  <r>
    <x v="0"/>
    <s v="Enterprise-Ozark Community College"/>
    <n v="101143"/>
    <x v="8"/>
    <s v="sem"/>
    <s v="sem"/>
    <m/>
    <m/>
    <n v="20044"/>
    <n v="22691"/>
    <n v="10064"/>
    <n v="11692"/>
    <n v="23521"/>
    <n v="25571"/>
    <n v="53629"/>
    <m/>
    <n v="1787.6333333333334"/>
    <n v="59954"/>
    <m/>
    <n v="1998.4666666666667"/>
    <m/>
    <m/>
    <m/>
    <m/>
    <m/>
    <m/>
    <m/>
    <m/>
    <n v="0"/>
    <m/>
    <n v="0"/>
    <n v="0"/>
    <m/>
    <n v="0"/>
    <m/>
    <m/>
    <m/>
    <m/>
    <m/>
    <m/>
    <m/>
    <m/>
    <n v="0"/>
    <n v="0"/>
    <n v="0"/>
    <n v="0"/>
    <n v="1787.6333333333334"/>
    <n v="1998.4666666666667"/>
  </r>
  <r>
    <x v="0"/>
    <s v="George Corley Wallace State Community College - Selma"/>
    <n v="101301"/>
    <x v="8"/>
    <s v="sem"/>
    <s v="sem"/>
    <m/>
    <m/>
    <n v="18029"/>
    <n v="19041"/>
    <n v="11202"/>
    <n v="13452"/>
    <n v="18514"/>
    <n v="20020"/>
    <n v="47745"/>
    <m/>
    <n v="1591.5"/>
    <n v="52513"/>
    <m/>
    <n v="1750.4333333333334"/>
    <m/>
    <m/>
    <m/>
    <m/>
    <m/>
    <m/>
    <m/>
    <m/>
    <n v="0"/>
    <m/>
    <n v="0"/>
    <n v="0"/>
    <m/>
    <n v="0"/>
    <m/>
    <m/>
    <m/>
    <m/>
    <m/>
    <m/>
    <m/>
    <m/>
    <n v="0"/>
    <n v="0"/>
    <n v="0"/>
    <n v="0"/>
    <n v="1591.5"/>
    <n v="1750.4333333333334"/>
  </r>
  <r>
    <x v="0"/>
    <s v="Jefferson Davis Community College"/>
    <n v="101499"/>
    <x v="8"/>
    <s v="sem"/>
    <s v="sem"/>
    <m/>
    <m/>
    <n v="12934"/>
    <n v="12452"/>
    <n v="6248"/>
    <n v="6323"/>
    <n v="13448"/>
    <n v="12551"/>
    <n v="32630"/>
    <m/>
    <n v="1087.6666666666667"/>
    <n v="31326"/>
    <m/>
    <n v="1044.2"/>
    <m/>
    <m/>
    <m/>
    <m/>
    <m/>
    <m/>
    <m/>
    <m/>
    <n v="0"/>
    <m/>
    <n v="0"/>
    <n v="0"/>
    <m/>
    <n v="0"/>
    <m/>
    <m/>
    <m/>
    <m/>
    <m/>
    <m/>
    <m/>
    <m/>
    <n v="0"/>
    <n v="0"/>
    <n v="0"/>
    <n v="0"/>
    <n v="1087.6666666666667"/>
    <n v="1044.2"/>
  </r>
  <r>
    <x v="0"/>
    <s v="Lurleen B. Wallace Community College "/>
    <n v="101602"/>
    <x v="8"/>
    <s v="sem"/>
    <s v="sem"/>
    <m/>
    <m/>
    <n v="15163"/>
    <n v="16301"/>
    <n v="8145"/>
    <n v="8088"/>
    <n v="17247"/>
    <n v="17684"/>
    <n v="40555"/>
    <m/>
    <n v="1351.8333333333333"/>
    <n v="42073"/>
    <m/>
    <n v="1402.4333333333334"/>
    <m/>
    <m/>
    <m/>
    <m/>
    <m/>
    <m/>
    <m/>
    <m/>
    <n v="0"/>
    <m/>
    <n v="0"/>
    <n v="0"/>
    <m/>
    <n v="0"/>
    <m/>
    <m/>
    <m/>
    <m/>
    <m/>
    <m/>
    <m/>
    <m/>
    <n v="0"/>
    <n v="0"/>
    <n v="0"/>
    <n v="0"/>
    <n v="1351.8333333333333"/>
    <n v="1402.4333333333334"/>
  </r>
  <r>
    <x v="0"/>
    <s v="Northeast Alabama State Community College "/>
    <n v="101897"/>
    <x v="8"/>
    <s v="sem"/>
    <s v="sem"/>
    <m/>
    <m/>
    <n v="22742"/>
    <n v="23798"/>
    <n v="10122"/>
    <n v="10566"/>
    <n v="25214"/>
    <n v="28468"/>
    <n v="58078"/>
    <m/>
    <n v="1935.9333333333334"/>
    <n v="62832"/>
    <m/>
    <n v="2094.4"/>
    <m/>
    <m/>
    <m/>
    <m/>
    <m/>
    <m/>
    <m/>
    <m/>
    <n v="0"/>
    <m/>
    <n v="0"/>
    <n v="0"/>
    <m/>
    <n v="0"/>
    <m/>
    <m/>
    <m/>
    <m/>
    <m/>
    <m/>
    <m/>
    <m/>
    <n v="0"/>
    <n v="0"/>
    <n v="0"/>
    <n v="0"/>
    <n v="1935.9333333333334"/>
    <n v="2094.4"/>
  </r>
  <r>
    <x v="0"/>
    <s v="Snead State Community College "/>
    <n v="102076"/>
    <x v="8"/>
    <s v="sem"/>
    <s v="sem"/>
    <m/>
    <m/>
    <n v="20731"/>
    <n v="21524"/>
    <n v="8079"/>
    <n v="8752"/>
    <n v="22615"/>
    <n v="23414"/>
    <n v="51425"/>
    <m/>
    <n v="1714.1666666666667"/>
    <n v="53690"/>
    <m/>
    <n v="1789.6666666666667"/>
    <m/>
    <m/>
    <m/>
    <m/>
    <m/>
    <m/>
    <m/>
    <m/>
    <n v="0"/>
    <m/>
    <n v="0"/>
    <n v="0"/>
    <m/>
    <n v="0"/>
    <m/>
    <m/>
    <m/>
    <m/>
    <m/>
    <m/>
    <m/>
    <m/>
    <n v="0"/>
    <n v="0"/>
    <n v="0"/>
    <n v="0"/>
    <n v="1714.1666666666667"/>
    <n v="1789.6666666666667"/>
  </r>
  <r>
    <x v="0"/>
    <s v="Trenholm State Technical College "/>
    <n v="102313"/>
    <x v="9"/>
    <s v="sem"/>
    <s v="sem"/>
    <m/>
    <m/>
    <n v="13045"/>
    <n v="13051"/>
    <n v="9496"/>
    <n v="9703"/>
    <n v="13675"/>
    <n v="14004"/>
    <n v="36216"/>
    <m/>
    <n v="1207.2"/>
    <n v="36758"/>
    <m/>
    <n v="1225.2666666666667"/>
    <m/>
    <m/>
    <m/>
    <m/>
    <m/>
    <m/>
    <m/>
    <m/>
    <n v="0"/>
    <m/>
    <n v="0"/>
    <n v="0"/>
    <m/>
    <n v="0"/>
    <m/>
    <m/>
    <m/>
    <m/>
    <m/>
    <m/>
    <m/>
    <m/>
    <n v="0"/>
    <n v="0"/>
    <n v="0"/>
    <n v="0"/>
    <n v="1207.2"/>
    <n v="1225.2666666666667"/>
  </r>
  <r>
    <x v="0"/>
    <s v="J.F. Drake State Technical College "/>
    <n v="101462"/>
    <x v="10"/>
    <s v="sem"/>
    <s v="sem"/>
    <m/>
    <m/>
    <n v="6638"/>
    <n v="6902"/>
    <n v="4004"/>
    <n v="3944"/>
    <n v="7535"/>
    <n v="8662"/>
    <n v="18177"/>
    <m/>
    <n v="605.9"/>
    <n v="19508"/>
    <m/>
    <n v="650.26666666666665"/>
    <m/>
    <m/>
    <m/>
    <m/>
    <m/>
    <m/>
    <m/>
    <m/>
    <n v="0"/>
    <m/>
    <n v="0"/>
    <n v="0"/>
    <m/>
    <n v="0"/>
    <m/>
    <m/>
    <m/>
    <m/>
    <m/>
    <m/>
    <m/>
    <m/>
    <n v="0"/>
    <n v="0"/>
    <n v="0"/>
    <n v="0"/>
    <n v="605.9"/>
    <n v="650.26666666666665"/>
  </r>
  <r>
    <x v="0"/>
    <s v="J.F. Ingram State Technical College "/>
    <n v="101471"/>
    <x v="10"/>
    <s v="sem"/>
    <s v="sem"/>
    <m/>
    <m/>
    <n v="8007"/>
    <n v="6994"/>
    <n v="7411"/>
    <n v="6866"/>
    <n v="7899"/>
    <n v="7565"/>
    <n v="23317"/>
    <m/>
    <n v="777.23333333333335"/>
    <n v="21425"/>
    <m/>
    <n v="714.16666666666663"/>
    <m/>
    <m/>
    <m/>
    <m/>
    <m/>
    <m/>
    <m/>
    <m/>
    <n v="0"/>
    <m/>
    <n v="0"/>
    <n v="0"/>
    <m/>
    <n v="0"/>
    <m/>
    <m/>
    <m/>
    <m/>
    <m/>
    <m/>
    <m/>
    <m/>
    <n v="0"/>
    <n v="0"/>
    <n v="0"/>
    <n v="0"/>
    <n v="777.23333333333335"/>
    <n v="714.16666666666663"/>
  </r>
  <r>
    <x v="0"/>
    <s v="Reid State Technical College "/>
    <n v="101994"/>
    <x v="10"/>
    <s v="sem"/>
    <s v="sem"/>
    <m/>
    <m/>
    <n v="4901"/>
    <n v="5274"/>
    <n v="3289"/>
    <n v="3811"/>
    <n v="6208"/>
    <n v="6547"/>
    <n v="14398"/>
    <m/>
    <n v="479.93333333333334"/>
    <n v="15632"/>
    <m/>
    <n v="521.06666666666672"/>
    <m/>
    <m/>
    <m/>
    <m/>
    <m/>
    <m/>
    <m/>
    <m/>
    <n v="0"/>
    <m/>
    <n v="0"/>
    <n v="0"/>
    <m/>
    <n v="0"/>
    <m/>
    <m/>
    <m/>
    <m/>
    <m/>
    <m/>
    <m/>
    <m/>
    <n v="0"/>
    <n v="0"/>
    <n v="0"/>
    <n v="0"/>
    <n v="479.93333333333334"/>
    <n v="521.06666666666672"/>
  </r>
  <r>
    <x v="0"/>
    <s v="Marion Military Institute"/>
    <n v="101648"/>
    <x v="11"/>
    <m/>
    <m/>
    <m/>
    <m/>
    <m/>
    <n v="5779"/>
    <m/>
    <m/>
    <m/>
    <n v="7110"/>
    <n v="0"/>
    <m/>
    <n v="0"/>
    <n v="12889"/>
    <m/>
    <n v="429.63333333333333"/>
    <m/>
    <m/>
    <m/>
    <m/>
    <m/>
    <m/>
    <m/>
    <m/>
    <n v="0"/>
    <m/>
    <n v="0"/>
    <n v="0"/>
    <m/>
    <n v="0"/>
    <m/>
    <m/>
    <m/>
    <m/>
    <m/>
    <m/>
    <m/>
    <m/>
    <n v="0"/>
    <n v="0"/>
    <n v="0"/>
    <n v="0"/>
    <n v="0"/>
    <n v="429.63333333333333"/>
  </r>
  <r>
    <x v="1"/>
    <s v="University of Arkansas, Fayetteville"/>
    <n v="106397"/>
    <x v="0"/>
    <s v="sem"/>
    <s v="sem"/>
    <m/>
    <m/>
    <n v="177483"/>
    <n v="185896"/>
    <n v="33368"/>
    <n v="34584"/>
    <n v="199268"/>
    <n v="207970"/>
    <n v="410119"/>
    <n v="159"/>
    <n v="13670.633333333333"/>
    <n v="428450"/>
    <n v="101"/>
    <n v="14281.666666666666"/>
    <m/>
    <m/>
    <m/>
    <m/>
    <m/>
    <m/>
    <m/>
    <m/>
    <n v="0"/>
    <m/>
    <n v="0"/>
    <n v="0"/>
    <m/>
    <n v="0"/>
    <m/>
    <m/>
    <n v="28958"/>
    <n v="29066"/>
    <n v="9604"/>
    <n v="10609"/>
    <n v="29650"/>
    <n v="30094"/>
    <n v="68212"/>
    <n v="2842.1666666666665"/>
    <n v="69769"/>
    <n v="2907.0416666666665"/>
    <n v="16512.8"/>
    <n v="17188.708333333332"/>
  </r>
  <r>
    <x v="1"/>
    <s v="Arkansas State University"/>
    <n v="106458"/>
    <x v="2"/>
    <s v="sem"/>
    <s v="sem"/>
    <m/>
    <m/>
    <n v="110427"/>
    <n v="115710"/>
    <n v="18184"/>
    <n v="20573"/>
    <n v="123196"/>
    <n v="123547"/>
    <n v="251807"/>
    <n v="3592"/>
    <n v="8393.5666666666675"/>
    <n v="259830"/>
    <n v="3632"/>
    <n v="8661"/>
    <m/>
    <m/>
    <m/>
    <m/>
    <m/>
    <m/>
    <m/>
    <m/>
    <n v="0"/>
    <m/>
    <n v="0"/>
    <n v="0"/>
    <m/>
    <n v="0"/>
    <m/>
    <m/>
    <n v="9193"/>
    <n v="10341"/>
    <n v="6903"/>
    <n v="6721"/>
    <n v="9499"/>
    <n v="11566"/>
    <n v="25595"/>
    <n v="1066.4583333333333"/>
    <n v="28628"/>
    <n v="1192.8333333333333"/>
    <n v="9460.0250000000015"/>
    <n v="9853.8333333333339"/>
  </r>
  <r>
    <x v="1"/>
    <s v="University of Arkansas at Little Rock"/>
    <n v="106245"/>
    <x v="2"/>
    <s v="sem"/>
    <s v="sem"/>
    <m/>
    <m/>
    <n v="92342"/>
    <n v="93281"/>
    <n v="21380"/>
    <n v="21520"/>
    <n v="98628"/>
    <n v="98346"/>
    <n v="212350"/>
    <n v="4148"/>
    <n v="7078.333333333333"/>
    <n v="213147"/>
    <n v="6221"/>
    <n v="7104.9"/>
    <m/>
    <m/>
    <m/>
    <m/>
    <m/>
    <m/>
    <m/>
    <m/>
    <n v="0"/>
    <m/>
    <n v="0"/>
    <n v="0"/>
    <m/>
    <n v="0"/>
    <m/>
    <m/>
    <n v="18841"/>
    <n v="19630"/>
    <n v="7318"/>
    <n v="7907"/>
    <n v="23155"/>
    <n v="21268"/>
    <n v="49314"/>
    <n v="2054.75"/>
    <n v="48805"/>
    <n v="2033.5416666666667"/>
    <n v="9133.0833333333321"/>
    <n v="9138.4416666666657"/>
  </r>
  <r>
    <x v="1"/>
    <s v="University of Central Arkansas "/>
    <n v="106704"/>
    <x v="2"/>
    <s v="sem"/>
    <s v="sem"/>
    <m/>
    <m/>
    <n v="135770"/>
    <n v="131445"/>
    <n v="17333"/>
    <n v="18673"/>
    <n v="143679"/>
    <n v="145326"/>
    <n v="296782"/>
    <n v="5024"/>
    <n v="9892.7333333333336"/>
    <n v="295444"/>
    <n v="9740"/>
    <n v="9848.1333333333332"/>
    <m/>
    <m/>
    <m/>
    <m/>
    <m/>
    <m/>
    <m/>
    <m/>
    <n v="0"/>
    <m/>
    <n v="0"/>
    <n v="0"/>
    <m/>
    <n v="0"/>
    <m/>
    <m/>
    <n v="11556"/>
    <n v="13067"/>
    <n v="7497"/>
    <n v="9086"/>
    <n v="13283"/>
    <n v="13225"/>
    <n v="32336"/>
    <n v="1347.3333333333333"/>
    <n v="35378"/>
    <n v="1474.0833333333333"/>
    <n v="11240.066666666668"/>
    <n v="11322.216666666667"/>
  </r>
  <r>
    <x v="1"/>
    <s v="Arkansas Tech University"/>
    <n v="106467"/>
    <x v="3"/>
    <s v="sem"/>
    <s v="sem"/>
    <m/>
    <m/>
    <n v="81485"/>
    <n v="84096"/>
    <n v="14282"/>
    <n v="14102"/>
    <n v="92267"/>
    <n v="93317"/>
    <n v="188034"/>
    <n v="1534"/>
    <n v="6267.8"/>
    <n v="191515"/>
    <n v="2544"/>
    <n v="6383.833333333333"/>
    <m/>
    <m/>
    <m/>
    <m/>
    <m/>
    <m/>
    <m/>
    <m/>
    <n v="0"/>
    <m/>
    <n v="0"/>
    <n v="0"/>
    <m/>
    <n v="0"/>
    <m/>
    <m/>
    <n v="4516"/>
    <n v="3379"/>
    <n v="2309"/>
    <n v="2131"/>
    <n v="3762"/>
    <n v="3182"/>
    <n v="10587"/>
    <n v="441.125"/>
    <n v="8692"/>
    <n v="362.16666666666669"/>
    <n v="6708.9250000000002"/>
    <n v="6746"/>
  </r>
  <r>
    <x v="1"/>
    <s v="Henderson State University"/>
    <n v="107071"/>
    <x v="3"/>
    <s v="sem"/>
    <s v="sem"/>
    <m/>
    <m/>
    <n v="37398"/>
    <n v="39598"/>
    <n v="5762"/>
    <n v="5788"/>
    <n v="43236"/>
    <n v="43165"/>
    <n v="86396"/>
    <n v="130"/>
    <n v="2879.8666666666668"/>
    <n v="88551"/>
    <n v="119"/>
    <n v="2951.7"/>
    <m/>
    <m/>
    <m/>
    <m/>
    <m/>
    <m/>
    <m/>
    <m/>
    <n v="0"/>
    <m/>
    <n v="0"/>
    <n v="0"/>
    <m/>
    <n v="0"/>
    <m/>
    <m/>
    <n v="2957"/>
    <n v="2959"/>
    <n v="5094"/>
    <n v="5850"/>
    <n v="2832"/>
    <n v="3486"/>
    <n v="10883"/>
    <n v="453.45833333333331"/>
    <n v="12295"/>
    <n v="512.29166666666663"/>
    <n v="3333.3250000000003"/>
    <n v="3463.9916666666663"/>
  </r>
  <r>
    <x v="1"/>
    <s v="Southern Arkansas University"/>
    <n v="107983"/>
    <x v="4"/>
    <s v="sem"/>
    <s v="sem"/>
    <m/>
    <m/>
    <n v="35364"/>
    <n v="34412"/>
    <n v="4754"/>
    <n v="4183"/>
    <n v="38408"/>
    <n v="36735"/>
    <n v="78526"/>
    <n v="608"/>
    <n v="2617.5333333333333"/>
    <n v="75330"/>
    <n v="606"/>
    <n v="2511"/>
    <m/>
    <m/>
    <m/>
    <m/>
    <m/>
    <m/>
    <m/>
    <m/>
    <n v="0"/>
    <m/>
    <n v="0"/>
    <n v="0"/>
    <m/>
    <n v="0"/>
    <m/>
    <m/>
    <n v="1696"/>
    <n v="2054"/>
    <n v="1781"/>
    <n v="2691"/>
    <n v="2101"/>
    <n v="2447"/>
    <n v="5578"/>
    <n v="232.41666666666666"/>
    <n v="7192"/>
    <n v="299.66666666666669"/>
    <n v="2849.95"/>
    <n v="2810.6666666666665"/>
  </r>
  <r>
    <x v="1"/>
    <s v="University of Arkansas at Monticello"/>
    <n v="106485"/>
    <x v="4"/>
    <s v="sem"/>
    <s v="sem"/>
    <m/>
    <m/>
    <n v="34199"/>
    <n v="34789"/>
    <n v="7119"/>
    <n v="7289"/>
    <n v="36629"/>
    <n v="37200"/>
    <n v="77947"/>
    <n v="3438"/>
    <n v="2598.2333333333331"/>
    <n v="79278"/>
    <n v="3573"/>
    <n v="2642.6"/>
    <m/>
    <m/>
    <m/>
    <m/>
    <m/>
    <m/>
    <m/>
    <m/>
    <n v="0"/>
    <m/>
    <n v="0"/>
    <n v="0"/>
    <m/>
    <n v="0"/>
    <m/>
    <m/>
    <n v="663"/>
    <n v="885"/>
    <n v="894"/>
    <n v="806"/>
    <n v="860"/>
    <n v="742"/>
    <n v="2417"/>
    <n v="100.70833333333333"/>
    <n v="2433"/>
    <n v="101.375"/>
    <n v="2698.9416666666666"/>
    <n v="2743.9749999999999"/>
  </r>
  <r>
    <x v="1"/>
    <s v="University of Arkansas at Fort Smith"/>
    <n v="108092"/>
    <x v="5"/>
    <s v="sem"/>
    <s v="sem"/>
    <m/>
    <m/>
    <n v="67149"/>
    <n v="68327"/>
    <n v="16218"/>
    <n v="15854"/>
    <n v="73428"/>
    <n v="77193"/>
    <n v="156795"/>
    <n v="7465"/>
    <n v="5226.5"/>
    <n v="161374"/>
    <n v="7284"/>
    <n v="5379.1333333333332"/>
    <m/>
    <m/>
    <m/>
    <m/>
    <m/>
    <m/>
    <m/>
    <m/>
    <n v="0"/>
    <m/>
    <n v="0"/>
    <n v="0"/>
    <m/>
    <n v="0"/>
    <m/>
    <m/>
    <m/>
    <m/>
    <m/>
    <m/>
    <m/>
    <m/>
    <n v="0"/>
    <n v="0"/>
    <n v="0"/>
    <n v="0"/>
    <n v="5226.5"/>
    <n v="5379.1333333333332"/>
  </r>
  <r>
    <x v="1"/>
    <s v="University of Arkansas at Pine Bluff"/>
    <n v="106412"/>
    <x v="5"/>
    <s v="sem"/>
    <s v="sem"/>
    <m/>
    <m/>
    <n v="35973"/>
    <n v="37374"/>
    <n v="5274"/>
    <n v="5993"/>
    <n v="42283"/>
    <n v="46476"/>
    <n v="83530"/>
    <n v="52"/>
    <n v="2784.3333333333335"/>
    <n v="89843"/>
    <n v="48"/>
    <n v="2994.7666666666669"/>
    <m/>
    <m/>
    <m/>
    <m/>
    <m/>
    <m/>
    <m/>
    <m/>
    <n v="0"/>
    <m/>
    <n v="0"/>
    <n v="0"/>
    <m/>
    <n v="0"/>
    <m/>
    <m/>
    <n v="613"/>
    <n v="657"/>
    <n v="197"/>
    <n v="461"/>
    <n v="707"/>
    <n v="928"/>
    <n v="1517"/>
    <n v="63.208333333333336"/>
    <n v="2046"/>
    <n v="85.25"/>
    <n v="2847.541666666667"/>
    <n v="3080.0166666666669"/>
  </r>
  <r>
    <x v="1"/>
    <s v="Pulaski Technical College"/>
    <n v="107664"/>
    <x v="6"/>
    <s v="sem"/>
    <s v="sem"/>
    <m/>
    <m/>
    <n v="81309"/>
    <n v="85052"/>
    <n v="17710"/>
    <n v="18015"/>
    <n v="84810"/>
    <n v="87168"/>
    <n v="183829"/>
    <n v="3184"/>
    <n v="6127.6333333333332"/>
    <n v="190235"/>
    <n v="3025"/>
    <n v="6341.166666666667"/>
    <m/>
    <m/>
    <m/>
    <m/>
    <m/>
    <m/>
    <m/>
    <m/>
    <n v="0"/>
    <m/>
    <n v="0"/>
    <n v="0"/>
    <m/>
    <n v="0"/>
    <m/>
    <m/>
    <m/>
    <m/>
    <m/>
    <m/>
    <m/>
    <m/>
    <n v="0"/>
    <n v="0"/>
    <n v="0"/>
    <n v="0"/>
    <n v="6127.6333333333332"/>
    <n v="6341.166666666667"/>
  </r>
  <r>
    <x v="1"/>
    <s v="Arkansas State University-Beebe"/>
    <n v="106449"/>
    <x v="7"/>
    <s v="sem"/>
    <s v="sem"/>
    <m/>
    <m/>
    <n v="40320"/>
    <n v="41921"/>
    <n v="9851"/>
    <n v="11003"/>
    <n v="44814"/>
    <n v="45614"/>
    <n v="94985"/>
    <n v="6330"/>
    <n v="3166.1666666666665"/>
    <n v="98538"/>
    <n v="6630"/>
    <n v="3284.6"/>
    <m/>
    <m/>
    <m/>
    <m/>
    <m/>
    <m/>
    <m/>
    <m/>
    <n v="0"/>
    <m/>
    <n v="0"/>
    <n v="0"/>
    <m/>
    <n v="0"/>
    <m/>
    <m/>
    <m/>
    <m/>
    <m/>
    <m/>
    <m/>
    <m/>
    <n v="0"/>
    <n v="0"/>
    <n v="0"/>
    <n v="0"/>
    <n v="3166.1666666666665"/>
    <n v="3284.6"/>
  </r>
  <r>
    <x v="1"/>
    <s v="Northwest Arkansas Community College "/>
    <n v="367459"/>
    <x v="7"/>
    <s v="sem"/>
    <s v="sem"/>
    <m/>
    <m/>
    <n v="47682"/>
    <n v="56212"/>
    <n v="10922"/>
    <n v="13549"/>
    <n v="55957"/>
    <n v="63246"/>
    <n v="114561"/>
    <n v="6205"/>
    <n v="3818.7"/>
    <n v="133007"/>
    <n v="6288"/>
    <n v="4433.5666666666666"/>
    <m/>
    <m/>
    <m/>
    <m/>
    <m/>
    <m/>
    <m/>
    <m/>
    <n v="0"/>
    <m/>
    <n v="0"/>
    <n v="0"/>
    <m/>
    <n v="0"/>
    <m/>
    <m/>
    <m/>
    <m/>
    <m/>
    <m/>
    <m/>
    <m/>
    <n v="0"/>
    <n v="0"/>
    <n v="0"/>
    <n v="0"/>
    <n v="3818.7"/>
    <n v="4433.5666666666666"/>
  </r>
  <r>
    <x v="1"/>
    <s v="Arkansas Northeastern College"/>
    <n v="107327"/>
    <x v="8"/>
    <s v="sem"/>
    <s v="sem"/>
    <m/>
    <m/>
    <n v="15938"/>
    <n v="14895"/>
    <n v="3503"/>
    <n v="3839"/>
    <n v="16178"/>
    <n v="17242"/>
    <n v="35619"/>
    <n v="1368"/>
    <n v="1187.3"/>
    <n v="35976"/>
    <n v="1801"/>
    <n v="1199.2"/>
    <m/>
    <m/>
    <m/>
    <m/>
    <m/>
    <m/>
    <m/>
    <m/>
    <n v="0"/>
    <m/>
    <n v="0"/>
    <n v="0"/>
    <m/>
    <n v="0"/>
    <m/>
    <m/>
    <m/>
    <m/>
    <m/>
    <m/>
    <m/>
    <m/>
    <n v="0"/>
    <n v="0"/>
    <n v="0"/>
    <n v="0"/>
    <n v="1187.3"/>
    <n v="1199.2"/>
  </r>
  <r>
    <x v="1"/>
    <s v="Arkansas State University Mountain Home"/>
    <n v="420538"/>
    <x v="8"/>
    <s v="sem"/>
    <s v="sem"/>
    <m/>
    <m/>
    <n v="10642"/>
    <n v="11855"/>
    <n v="1959"/>
    <n v="2856"/>
    <n v="11593"/>
    <n v="13187"/>
    <n v="24194"/>
    <n v="681"/>
    <n v="806.4666666666667"/>
    <n v="27898"/>
    <n v="778"/>
    <n v="929.93333333333328"/>
    <m/>
    <m/>
    <m/>
    <m/>
    <m/>
    <m/>
    <m/>
    <m/>
    <n v="0"/>
    <m/>
    <n v="0"/>
    <n v="0"/>
    <m/>
    <n v="0"/>
    <m/>
    <m/>
    <m/>
    <m/>
    <m/>
    <m/>
    <m/>
    <m/>
    <n v="0"/>
    <n v="0"/>
    <n v="0"/>
    <n v="0"/>
    <n v="806.4666666666667"/>
    <n v="929.93333333333328"/>
  </r>
  <r>
    <x v="1"/>
    <s v="Arkansas State University-Newport"/>
    <n v="440402"/>
    <x v="8"/>
    <s v="sem"/>
    <s v="sem"/>
    <m/>
    <m/>
    <n v="10859"/>
    <n v="10644"/>
    <n v="5254"/>
    <n v="5542"/>
    <n v="11118"/>
    <n v="16416"/>
    <n v="27231"/>
    <n v="2649"/>
    <n v="907.7"/>
    <n v="32602"/>
    <n v="3336"/>
    <n v="1086.7333333333333"/>
    <m/>
    <m/>
    <m/>
    <m/>
    <m/>
    <m/>
    <m/>
    <m/>
    <n v="0"/>
    <m/>
    <n v="0"/>
    <n v="0"/>
    <m/>
    <n v="0"/>
    <m/>
    <m/>
    <m/>
    <m/>
    <m/>
    <m/>
    <m/>
    <m/>
    <n v="0"/>
    <n v="0"/>
    <n v="0"/>
    <n v="0"/>
    <n v="907.7"/>
    <n v="1086.7333333333333"/>
  </r>
  <r>
    <x v="1"/>
    <s v="Black River Technical College"/>
    <n v="106625"/>
    <x v="8"/>
    <s v="sem"/>
    <s v="sem"/>
    <m/>
    <m/>
    <n v="19329"/>
    <n v="21310"/>
    <n v="5071"/>
    <n v="5452"/>
    <n v="22039"/>
    <n v="21251"/>
    <n v="46439"/>
    <n v="1797"/>
    <n v="1547.9666666666667"/>
    <n v="48013"/>
    <n v="1295"/>
    <n v="1600.4333333333334"/>
    <m/>
    <m/>
    <m/>
    <m/>
    <m/>
    <m/>
    <m/>
    <m/>
    <n v="0"/>
    <m/>
    <n v="0"/>
    <n v="0"/>
    <m/>
    <n v="0"/>
    <m/>
    <m/>
    <m/>
    <m/>
    <m/>
    <m/>
    <m/>
    <m/>
    <n v="0"/>
    <n v="0"/>
    <n v="0"/>
    <n v="0"/>
    <n v="1547.9666666666667"/>
    <n v="1600.4333333333334"/>
  </r>
  <r>
    <x v="1"/>
    <s v="Cossatot Community College of the University of Arkansas"/>
    <n v="106795"/>
    <x v="8"/>
    <s v="sem"/>
    <s v="sem"/>
    <m/>
    <m/>
    <n v="11125"/>
    <n v="11464"/>
    <n v="3631"/>
    <n v="3464"/>
    <n v="11170"/>
    <n v="12067"/>
    <n v="25926"/>
    <n v="2462"/>
    <n v="864.2"/>
    <n v="26995"/>
    <n v="2680"/>
    <n v="899.83333333333337"/>
    <m/>
    <m/>
    <m/>
    <m/>
    <m/>
    <m/>
    <m/>
    <m/>
    <n v="0"/>
    <m/>
    <n v="0"/>
    <n v="0"/>
    <m/>
    <n v="0"/>
    <m/>
    <m/>
    <m/>
    <m/>
    <m/>
    <m/>
    <m/>
    <m/>
    <n v="0"/>
    <n v="0"/>
    <n v="0"/>
    <n v="0"/>
    <n v="864.2"/>
    <n v="899.83333333333337"/>
  </r>
  <r>
    <x v="1"/>
    <s v="East Arkansas Community College "/>
    <n v="106883"/>
    <x v="8"/>
    <s v="sem"/>
    <s v="sem"/>
    <m/>
    <m/>
    <n v="13992"/>
    <n v="13859"/>
    <n v="4470"/>
    <n v="4137"/>
    <n v="15107"/>
    <n v="14072"/>
    <n v="33569"/>
    <n v="2305"/>
    <n v="1118.9666666666667"/>
    <n v="32068"/>
    <n v="1812"/>
    <n v="1068.9333333333334"/>
    <m/>
    <m/>
    <m/>
    <m/>
    <m/>
    <m/>
    <m/>
    <m/>
    <n v="0"/>
    <m/>
    <n v="0"/>
    <n v="0"/>
    <m/>
    <n v="0"/>
    <m/>
    <m/>
    <m/>
    <m/>
    <m/>
    <m/>
    <m/>
    <m/>
    <n v="0"/>
    <n v="0"/>
    <n v="0"/>
    <n v="0"/>
    <n v="1118.9666666666667"/>
    <n v="1068.9333333333334"/>
  </r>
  <r>
    <x v="1"/>
    <s v="Mid-South Community College "/>
    <n v="107318"/>
    <x v="8"/>
    <s v="sem"/>
    <s v="sem"/>
    <m/>
    <m/>
    <n v="11649"/>
    <n v="11770"/>
    <n v="2881"/>
    <n v="3119"/>
    <n v="12872"/>
    <n v="14077"/>
    <n v="27402"/>
    <n v="2932"/>
    <n v="913.4"/>
    <n v="28966"/>
    <n v="3457"/>
    <n v="965.5333333333333"/>
    <m/>
    <m/>
    <m/>
    <m/>
    <m/>
    <m/>
    <m/>
    <m/>
    <n v="0"/>
    <m/>
    <n v="0"/>
    <n v="0"/>
    <m/>
    <n v="0"/>
    <m/>
    <m/>
    <m/>
    <m/>
    <m/>
    <m/>
    <m/>
    <m/>
    <n v="0"/>
    <n v="0"/>
    <n v="0"/>
    <n v="0"/>
    <n v="913.4"/>
    <n v="965.5333333333333"/>
  </r>
  <r>
    <x v="1"/>
    <s v="National Park Community College"/>
    <n v="106980"/>
    <x v="8"/>
    <s v="sem"/>
    <s v="sem"/>
    <m/>
    <m/>
    <n v="23942"/>
    <n v="26175"/>
    <n v="5761"/>
    <n v="6144"/>
    <n v="27797"/>
    <n v="31690"/>
    <n v="57500"/>
    <n v="3861"/>
    <n v="1916.6666666666667"/>
    <n v="64009"/>
    <n v="5237"/>
    <n v="2133.6333333333332"/>
    <m/>
    <m/>
    <m/>
    <m/>
    <m/>
    <m/>
    <m/>
    <m/>
    <n v="0"/>
    <m/>
    <n v="0"/>
    <n v="0"/>
    <m/>
    <n v="0"/>
    <m/>
    <m/>
    <m/>
    <m/>
    <m/>
    <m/>
    <m/>
    <m/>
    <n v="0"/>
    <n v="0"/>
    <n v="0"/>
    <n v="0"/>
    <n v="1916.6666666666667"/>
    <n v="2133.6333333333332"/>
  </r>
  <r>
    <x v="1"/>
    <s v="North Arkansas College"/>
    <n v="107460"/>
    <x v="8"/>
    <s v="sem"/>
    <s v="sem"/>
    <m/>
    <m/>
    <n v="20792"/>
    <n v="21363"/>
    <n v="2663"/>
    <n v="2608"/>
    <n v="22238"/>
    <n v="23654"/>
    <n v="45693"/>
    <n v="2962"/>
    <n v="1523.1"/>
    <n v="47625"/>
    <n v="3049"/>
    <n v="1587.5"/>
    <m/>
    <m/>
    <m/>
    <m/>
    <m/>
    <m/>
    <m/>
    <m/>
    <n v="0"/>
    <m/>
    <n v="0"/>
    <n v="0"/>
    <m/>
    <n v="0"/>
    <m/>
    <m/>
    <m/>
    <m/>
    <m/>
    <m/>
    <m/>
    <m/>
    <n v="0"/>
    <n v="0"/>
    <n v="0"/>
    <n v="0"/>
    <n v="1523.1"/>
    <n v="1587.5"/>
  </r>
  <r>
    <x v="1"/>
    <s v="Ouachita Technical College "/>
    <n v="107521"/>
    <x v="8"/>
    <s v="sem"/>
    <s v="sem"/>
    <m/>
    <m/>
    <n v="11411"/>
    <n v="11749"/>
    <n v="2256"/>
    <n v="2766"/>
    <n v="12319"/>
    <n v="12517"/>
    <n v="25986"/>
    <n v="4455"/>
    <n v="866.2"/>
    <n v="27032"/>
    <n v="4307"/>
    <n v="901.06666666666672"/>
    <m/>
    <m/>
    <m/>
    <m/>
    <m/>
    <m/>
    <m/>
    <m/>
    <n v="0"/>
    <m/>
    <n v="0"/>
    <n v="0"/>
    <m/>
    <n v="0"/>
    <m/>
    <m/>
    <m/>
    <m/>
    <m/>
    <m/>
    <m/>
    <m/>
    <n v="0"/>
    <n v="0"/>
    <n v="0"/>
    <n v="0"/>
    <n v="866.2"/>
    <n v="901.06666666666672"/>
  </r>
  <r>
    <x v="1"/>
    <s v="Ozarka College "/>
    <n v="107549"/>
    <x v="8"/>
    <s v="sem"/>
    <s v="sem"/>
    <m/>
    <m/>
    <n v="9457"/>
    <n v="11927"/>
    <n v="1591"/>
    <n v="2216"/>
    <n v="11998"/>
    <n v="12745"/>
    <n v="23046"/>
    <n v="1511"/>
    <n v="768.2"/>
    <n v="26888"/>
    <n v="1376"/>
    <n v="896.26666666666665"/>
    <m/>
    <m/>
    <m/>
    <m/>
    <m/>
    <m/>
    <m/>
    <m/>
    <n v="0"/>
    <m/>
    <n v="0"/>
    <n v="0"/>
    <m/>
    <n v="0"/>
    <m/>
    <m/>
    <m/>
    <m/>
    <m/>
    <m/>
    <m/>
    <m/>
    <n v="0"/>
    <n v="0"/>
    <n v="0"/>
    <n v="0"/>
    <n v="768.2"/>
    <n v="896.26666666666665"/>
  </r>
  <r>
    <x v="1"/>
    <s v="Phillips Community College of the Univ of Arkansas"/>
    <n v="107619"/>
    <x v="8"/>
    <s v="sem"/>
    <s v="sem"/>
    <m/>
    <m/>
    <n v="16029"/>
    <n v="17293"/>
    <n v="3955"/>
    <n v="3290"/>
    <n v="19579"/>
    <n v="19483"/>
    <n v="39563"/>
    <n v="6689"/>
    <n v="1318.7666666666667"/>
    <n v="40066"/>
    <n v="7292"/>
    <n v="1335.5333333333333"/>
    <m/>
    <m/>
    <m/>
    <m/>
    <m/>
    <m/>
    <m/>
    <m/>
    <n v="0"/>
    <m/>
    <n v="0"/>
    <n v="0"/>
    <m/>
    <n v="0"/>
    <m/>
    <m/>
    <m/>
    <m/>
    <m/>
    <m/>
    <m/>
    <m/>
    <n v="0"/>
    <n v="0"/>
    <n v="0"/>
    <n v="0"/>
    <n v="1318.7666666666667"/>
    <n v="1335.5333333333333"/>
  </r>
  <r>
    <x v="1"/>
    <s v="Rich Mountain Community College "/>
    <n v="107743"/>
    <x v="8"/>
    <s v="sem"/>
    <s v="sem"/>
    <m/>
    <m/>
    <n v="6782"/>
    <n v="7724"/>
    <n v="954"/>
    <n v="1344"/>
    <n v="8129"/>
    <n v="8444"/>
    <n v="15865"/>
    <n v="2171"/>
    <n v="528.83333333333337"/>
    <n v="17512"/>
    <n v="2356"/>
    <n v="583.73333333333335"/>
    <m/>
    <m/>
    <m/>
    <m/>
    <m/>
    <m/>
    <m/>
    <m/>
    <n v="0"/>
    <m/>
    <n v="0"/>
    <n v="0"/>
    <m/>
    <n v="0"/>
    <m/>
    <m/>
    <m/>
    <m/>
    <m/>
    <m/>
    <m/>
    <m/>
    <n v="0"/>
    <n v="0"/>
    <n v="0"/>
    <n v="0"/>
    <n v="528.83333333333337"/>
    <n v="583.73333333333335"/>
  </r>
  <r>
    <x v="1"/>
    <s v="South Arkansas Community College"/>
    <n v="107974"/>
    <x v="8"/>
    <s v="sem"/>
    <s v="sem"/>
    <m/>
    <m/>
    <n v="12313"/>
    <n v="13219"/>
    <n v="5093"/>
    <n v="5706"/>
    <n v="13669"/>
    <n v="14925"/>
    <n v="31075"/>
    <n v="1310"/>
    <n v="1035.8333333333333"/>
    <n v="33850"/>
    <n v="1701"/>
    <n v="1128.3333333333333"/>
    <m/>
    <m/>
    <m/>
    <m/>
    <m/>
    <m/>
    <m/>
    <m/>
    <n v="0"/>
    <m/>
    <n v="0"/>
    <n v="0"/>
    <m/>
    <n v="0"/>
    <m/>
    <m/>
    <m/>
    <m/>
    <m/>
    <m/>
    <m/>
    <m/>
    <n v="0"/>
    <n v="0"/>
    <n v="0"/>
    <n v="0"/>
    <n v="1035.8333333333333"/>
    <n v="1128.3333333333333"/>
  </r>
  <r>
    <x v="1"/>
    <s v="Southeast Arkansas College"/>
    <n v="107637"/>
    <x v="8"/>
    <s v="sem"/>
    <s v="sem"/>
    <m/>
    <m/>
    <n v="19570"/>
    <n v="19378"/>
    <n v="6658"/>
    <n v="6339"/>
    <n v="21045"/>
    <n v="19870"/>
    <n v="47273"/>
    <n v="1173"/>
    <n v="1575.7666666666667"/>
    <n v="45587"/>
    <n v="1307"/>
    <n v="1519.5666666666666"/>
    <m/>
    <m/>
    <m/>
    <m/>
    <m/>
    <m/>
    <m/>
    <m/>
    <n v="0"/>
    <m/>
    <n v="0"/>
    <n v="0"/>
    <m/>
    <n v="0"/>
    <m/>
    <m/>
    <m/>
    <m/>
    <m/>
    <m/>
    <m/>
    <m/>
    <n v="0"/>
    <n v="0"/>
    <n v="0"/>
    <n v="0"/>
    <n v="1575.7666666666667"/>
    <n v="1519.5666666666666"/>
  </r>
  <r>
    <x v="1"/>
    <s v="Southern Arkansas University Tech"/>
    <n v="107992"/>
    <x v="8"/>
    <s v="sem"/>
    <s v="sem"/>
    <m/>
    <m/>
    <n v="15574"/>
    <n v="16427"/>
    <n v="4530"/>
    <n v="5406"/>
    <n v="18412"/>
    <n v="17528"/>
    <n v="38516"/>
    <n v="9048"/>
    <n v="1283.8666666666666"/>
    <n v="39361"/>
    <n v="8310"/>
    <n v="1312.0333333333333"/>
    <m/>
    <m/>
    <m/>
    <m/>
    <m/>
    <m/>
    <m/>
    <m/>
    <n v="0"/>
    <m/>
    <n v="0"/>
    <n v="0"/>
    <m/>
    <n v="0"/>
    <m/>
    <m/>
    <m/>
    <m/>
    <m/>
    <m/>
    <m/>
    <m/>
    <n v="0"/>
    <n v="0"/>
    <n v="0"/>
    <n v="0"/>
    <n v="1283.8666666666666"/>
    <n v="1312.0333333333333"/>
  </r>
  <r>
    <x v="1"/>
    <s v="University of Arkansas Community College at Batesville"/>
    <n v="106999"/>
    <x v="8"/>
    <s v="sem"/>
    <s v="sem"/>
    <m/>
    <m/>
    <n v="13396"/>
    <n v="14964"/>
    <n v="2457"/>
    <n v="4278"/>
    <n v="15430"/>
    <n v="16394"/>
    <n v="31283"/>
    <n v="766"/>
    <n v="1042.7666666666667"/>
    <n v="35636"/>
    <n v="705"/>
    <n v="1187.8666666666666"/>
    <m/>
    <m/>
    <m/>
    <m/>
    <m/>
    <m/>
    <m/>
    <m/>
    <n v="0"/>
    <m/>
    <n v="0"/>
    <n v="0"/>
    <m/>
    <n v="0"/>
    <m/>
    <m/>
    <m/>
    <m/>
    <m/>
    <m/>
    <m/>
    <m/>
    <n v="0"/>
    <n v="0"/>
    <n v="0"/>
    <n v="0"/>
    <n v="1042.7666666666667"/>
    <n v="1187.8666666666666"/>
  </r>
  <r>
    <x v="1"/>
    <s v="University of Arkansas Community College at Hope"/>
    <n v="107725"/>
    <x v="8"/>
    <s v="sem"/>
    <s v="sem"/>
    <m/>
    <m/>
    <n v="10393"/>
    <n v="11789"/>
    <n v="2089"/>
    <n v="2494"/>
    <n v="13428"/>
    <n v="12872"/>
    <n v="25910"/>
    <n v="931"/>
    <n v="863.66666666666663"/>
    <n v="27155"/>
    <n v="1296"/>
    <n v="905.16666666666663"/>
    <m/>
    <m/>
    <m/>
    <m/>
    <m/>
    <m/>
    <m/>
    <m/>
    <n v="0"/>
    <m/>
    <n v="0"/>
    <n v="0"/>
    <m/>
    <n v="0"/>
    <m/>
    <m/>
    <m/>
    <m/>
    <m/>
    <m/>
    <m/>
    <m/>
    <n v="0"/>
    <n v="0"/>
    <n v="0"/>
    <n v="0"/>
    <n v="863.66666666666663"/>
    <n v="905.16666666666663"/>
  </r>
  <r>
    <x v="1"/>
    <s v="University of Arkansas Community College at Morrilton"/>
    <n v="107585"/>
    <x v="8"/>
    <s v="sem"/>
    <s v="sem"/>
    <m/>
    <m/>
    <n v="17263"/>
    <n v="18457"/>
    <n v="2232"/>
    <n v="2571"/>
    <n v="20498"/>
    <n v="22181"/>
    <n v="39993"/>
    <n v="501"/>
    <n v="1333.1"/>
    <n v="43209"/>
    <n v="448"/>
    <n v="1440.3"/>
    <m/>
    <m/>
    <m/>
    <m/>
    <m/>
    <m/>
    <m/>
    <m/>
    <n v="0"/>
    <m/>
    <n v="0"/>
    <n v="0"/>
    <m/>
    <n v="0"/>
    <m/>
    <m/>
    <m/>
    <m/>
    <m/>
    <m/>
    <m/>
    <m/>
    <n v="0"/>
    <n v="0"/>
    <n v="0"/>
    <n v="0"/>
    <n v="1333.1"/>
    <n v="1440.3"/>
  </r>
  <r>
    <x v="2"/>
    <s v="University of Delaware"/>
    <n v="130943"/>
    <x v="0"/>
    <s v="sem"/>
    <s v="sem"/>
    <n v="36982"/>
    <n v="36982"/>
    <n v="216280"/>
    <n v="216280"/>
    <n v="16626"/>
    <n v="18149"/>
    <n v="232028"/>
    <n v="233697"/>
    <n v="501916"/>
    <m/>
    <n v="16730.533333333333"/>
    <n v="505108"/>
    <m/>
    <n v="16836.933333333334"/>
    <s v=" "/>
    <m/>
    <s v=" "/>
    <m/>
    <s v=" "/>
    <m/>
    <s v=" "/>
    <m/>
    <n v="0"/>
    <n v="0"/>
    <n v="0"/>
    <n v="0"/>
    <n v="0"/>
    <n v="0"/>
    <n v="1772"/>
    <n v="1772"/>
    <n v="19503"/>
    <n v="19503"/>
    <n v="5652"/>
    <n v="5820"/>
    <n v="22067"/>
    <n v="22540"/>
    <n v="48994"/>
    <n v="2041.4166666666667"/>
    <n v="49635"/>
    <n v="2068.125"/>
    <n v="18771.95"/>
    <n v="18905.058333333334"/>
  </r>
  <r>
    <x v="2"/>
    <s v="Delaware State University"/>
    <n v="130934"/>
    <x v="3"/>
    <s v="sem"/>
    <s v="sem"/>
    <m/>
    <m/>
    <n v="36325"/>
    <n v="44907"/>
    <n v="5411"/>
    <n v="6292"/>
    <n v="39403"/>
    <n v="45384"/>
    <n v="81139"/>
    <m/>
    <n v="2704.6333333333332"/>
    <n v="96583"/>
    <m/>
    <n v="3219.4333333333334"/>
    <m/>
    <m/>
    <m/>
    <m/>
    <m/>
    <m/>
    <m/>
    <m/>
    <n v="0"/>
    <m/>
    <n v="0"/>
    <n v="0"/>
    <m/>
    <n v="0"/>
    <n v="0"/>
    <m/>
    <n v="2868"/>
    <n v="2880"/>
    <n v="1518"/>
    <n v="1469"/>
    <n v="2810"/>
    <n v="2726"/>
    <n v="7196"/>
    <n v="299.83333333333331"/>
    <n v="7075"/>
    <n v="294.79166666666669"/>
    <n v="3004.4666666666667"/>
    <n v="3514.2249999999999"/>
  </r>
  <r>
    <x v="2"/>
    <s v="Delaware Technical and Community College--Owens"/>
    <n v="130891"/>
    <x v="7"/>
    <s v="sem"/>
    <s v="sem"/>
    <m/>
    <m/>
    <n v="34846"/>
    <n v="36617"/>
    <n v="6731"/>
    <n v="5094"/>
    <n v="41393"/>
    <n v="42099"/>
    <n v="82970"/>
    <m/>
    <n v="2765.6666666666665"/>
    <n v="83810"/>
    <m/>
    <n v="2793.6666666666665"/>
    <m/>
    <m/>
    <m/>
    <m/>
    <m/>
    <m/>
    <m/>
    <m/>
    <n v="0"/>
    <m/>
    <n v="0"/>
    <n v="0"/>
    <m/>
    <n v="0"/>
    <m/>
    <m/>
    <m/>
    <m/>
    <m/>
    <m/>
    <m/>
    <m/>
    <n v="0"/>
    <n v="0"/>
    <n v="0"/>
    <n v="0"/>
    <n v="2765.6666666666665"/>
    <n v="2793.6666666666665"/>
  </r>
  <r>
    <x v="2"/>
    <s v="Delaware Technical and Community College--Stanton-Wilmington"/>
    <n v="130916"/>
    <x v="7"/>
    <s v="sem"/>
    <s v="sem"/>
    <m/>
    <m/>
    <n v="61749"/>
    <n v="60261"/>
    <n v="16376"/>
    <n v="13215"/>
    <n v="70448"/>
    <n v="67081"/>
    <n v="148573"/>
    <m/>
    <n v="4952.4333333333334"/>
    <n v="140557"/>
    <m/>
    <n v="4685.2333333333336"/>
    <m/>
    <m/>
    <m/>
    <m/>
    <m/>
    <m/>
    <m/>
    <m/>
    <n v="0"/>
    <m/>
    <n v="0"/>
    <n v="0"/>
    <m/>
    <n v="0"/>
    <m/>
    <m/>
    <m/>
    <m/>
    <m/>
    <m/>
    <m/>
    <m/>
    <n v="0"/>
    <n v="0"/>
    <n v="0"/>
    <n v="0"/>
    <n v="4952.4333333333334"/>
    <n v="4685.2333333333336"/>
  </r>
  <r>
    <x v="2"/>
    <s v="Delaware Technical and Community College--Terry"/>
    <n v="130907"/>
    <x v="8"/>
    <s v="sem"/>
    <s v="sem"/>
    <m/>
    <m/>
    <n v="25577"/>
    <n v="27699"/>
    <n v="6990"/>
    <n v="5997"/>
    <n v="30541"/>
    <n v="31214"/>
    <n v="63108"/>
    <m/>
    <n v="2103.6"/>
    <n v="64910"/>
    <m/>
    <n v="2163.6666666666665"/>
    <m/>
    <m/>
    <m/>
    <m/>
    <m/>
    <m/>
    <m/>
    <m/>
    <n v="0"/>
    <m/>
    <n v="0"/>
    <n v="0"/>
    <m/>
    <n v="0"/>
    <m/>
    <m/>
    <m/>
    <m/>
    <m/>
    <m/>
    <m/>
    <m/>
    <n v="0"/>
    <n v="0"/>
    <n v="0"/>
    <n v="0"/>
    <n v="2103.6"/>
    <n v="2163.6666666666665"/>
  </r>
  <r>
    <x v="3"/>
    <s v="Florida State University "/>
    <n v="134097"/>
    <x v="0"/>
    <s v="sem"/>
    <s v="sem"/>
    <m/>
    <m/>
    <n v="380258"/>
    <n v="382086"/>
    <n v="121494"/>
    <n v="115000"/>
    <n v="401827"/>
    <n v="380545"/>
    <n v="903579"/>
    <n v="303"/>
    <n v="30119.3"/>
    <n v="877631"/>
    <n v="603"/>
    <n v="29254.366666666665"/>
    <m/>
    <m/>
    <m/>
    <m/>
    <m/>
    <m/>
    <m/>
    <m/>
    <n v="0"/>
    <m/>
    <n v="0"/>
    <n v="0"/>
    <m/>
    <n v="0"/>
    <m/>
    <m/>
    <n v="66372"/>
    <n v="67458"/>
    <n v="36292"/>
    <n v="36383"/>
    <n v="72967"/>
    <n v="71065"/>
    <n v="175631"/>
    <n v="7317.958333333333"/>
    <n v="174906"/>
    <n v="7287.75"/>
    <n v="37437.258333333331"/>
    <n v="36542.116666666669"/>
  </r>
  <r>
    <x v="3"/>
    <s v="University of Central Florida "/>
    <n v="132903"/>
    <x v="0"/>
    <s v="sem"/>
    <s v="sem"/>
    <m/>
    <m/>
    <n v="445460"/>
    <n v="469630"/>
    <n v="159643"/>
    <n v="172516"/>
    <n v="487786"/>
    <n v="505640"/>
    <n v="1092889"/>
    <n v="985"/>
    <n v="36429.633333333331"/>
    <n v="1147786"/>
    <n v="949"/>
    <n v="38259.533333333333"/>
    <m/>
    <m/>
    <m/>
    <m/>
    <m/>
    <m/>
    <m/>
    <m/>
    <n v="0"/>
    <m/>
    <n v="0"/>
    <n v="0"/>
    <m/>
    <n v="0"/>
    <m/>
    <m/>
    <n v="42757.5"/>
    <n v="42224.5"/>
    <n v="23904"/>
    <n v="24261.5"/>
    <n v="45431.5"/>
    <n v="48411"/>
    <n v="112093"/>
    <n v="4670.541666666667"/>
    <n v="114897"/>
    <n v="4787.375"/>
    <n v="41100.174999999996"/>
    <n v="43046.908333333333"/>
  </r>
  <r>
    <x v="3"/>
    <s v="University of Florida"/>
    <n v="134130"/>
    <x v="0"/>
    <s v="sem"/>
    <s v="sem"/>
    <m/>
    <m/>
    <n v="440385"/>
    <n v="446470"/>
    <n v="124596"/>
    <n v="121982"/>
    <n v="465394"/>
    <n v="459100"/>
    <n v="1030375"/>
    <n v="0"/>
    <n v="34345.833333333336"/>
    <n v="1027552"/>
    <n v="0"/>
    <n v="34251.73333333333"/>
    <m/>
    <m/>
    <m/>
    <m/>
    <m/>
    <m/>
    <m/>
    <m/>
    <n v="0"/>
    <m/>
    <n v="0"/>
    <n v="0"/>
    <m/>
    <n v="0"/>
    <m/>
    <m/>
    <n v="120571"/>
    <n v="123264"/>
    <n v="46026"/>
    <n v="47853"/>
    <n v="133166"/>
    <n v="134682"/>
    <n v="299763"/>
    <n v="12490.125"/>
    <n v="305799"/>
    <n v="12741.625"/>
    <n v="46835.958333333336"/>
    <n v="46993.35833333333"/>
  </r>
  <r>
    <x v="3"/>
    <s v="University of South Florida "/>
    <n v="137351"/>
    <x v="0"/>
    <s v="sem"/>
    <s v="sem"/>
    <m/>
    <m/>
    <n v="359332"/>
    <n v="385641"/>
    <n v="127065"/>
    <n v="135021"/>
    <n v="389617"/>
    <n v="415947"/>
    <n v="876014"/>
    <n v="3740"/>
    <n v="29200.466666666667"/>
    <n v="936609"/>
    <n v="4107"/>
    <n v="31220.3"/>
    <m/>
    <m/>
    <m/>
    <m/>
    <m/>
    <m/>
    <m/>
    <m/>
    <n v="0"/>
    <m/>
    <n v="0"/>
    <n v="0"/>
    <m/>
    <n v="0"/>
    <m/>
    <m/>
    <n v="52603"/>
    <n v="66516"/>
    <n v="28737"/>
    <n v="35392"/>
    <n v="55697"/>
    <n v="71178"/>
    <n v="137037"/>
    <n v="5709.875"/>
    <n v="173086"/>
    <n v="7211.916666666667"/>
    <n v="34910.341666666667"/>
    <n v="38432.216666666667"/>
  </r>
  <r>
    <x v="3"/>
    <s v="Florida Atlantic University "/>
    <n v="133669"/>
    <x v="1"/>
    <s v="sem"/>
    <s v="sem"/>
    <m/>
    <m/>
    <n v="206069"/>
    <n v="207296"/>
    <n v="82384"/>
    <n v="75986"/>
    <n v="228628"/>
    <n v="228063"/>
    <n v="517081"/>
    <n v="10579"/>
    <n v="17236.033333333333"/>
    <n v="511345"/>
    <n v="8829"/>
    <n v="17044.833333333332"/>
    <m/>
    <m/>
    <m/>
    <m/>
    <m/>
    <m/>
    <m/>
    <m/>
    <n v="0"/>
    <m/>
    <n v="0"/>
    <n v="0"/>
    <m/>
    <n v="0"/>
    <m/>
    <m/>
    <n v="26070"/>
    <n v="24381"/>
    <n v="15852"/>
    <n v="14888"/>
    <n v="26542"/>
    <n v="26175"/>
    <n v="68464"/>
    <n v="2852.6666666666665"/>
    <n v="65444"/>
    <n v="2726.8333333333335"/>
    <n v="20088.7"/>
    <n v="19771.666666666664"/>
  </r>
  <r>
    <x v="3"/>
    <s v="Florida International University"/>
    <n v="133951"/>
    <x v="1"/>
    <s v="sem"/>
    <s v="sem"/>
    <m/>
    <m/>
    <n v="332750"/>
    <n v="321810"/>
    <n v="161409"/>
    <n v="143306"/>
    <n v="337867"/>
    <n v="339491"/>
    <n v="832026"/>
    <n v="44"/>
    <n v="27734.2"/>
    <n v="804607"/>
    <n v="113"/>
    <n v="26820.233333333334"/>
    <m/>
    <m/>
    <m/>
    <m/>
    <m/>
    <m/>
    <m/>
    <m/>
    <n v="0"/>
    <m/>
    <n v="0"/>
    <n v="0"/>
    <m/>
    <n v="0"/>
    <m/>
    <m/>
    <n v="49463"/>
    <n v="51694"/>
    <n v="28132"/>
    <n v="20837"/>
    <n v="51696"/>
    <n v="54557"/>
    <n v="129291"/>
    <n v="5387.125"/>
    <n v="127088"/>
    <n v="5295.333333333333"/>
    <n v="33121.324999999997"/>
    <n v="32115.566666666666"/>
  </r>
  <r>
    <x v="3"/>
    <s v="Florida Agricultural &amp; Mechanical University "/>
    <n v="133650"/>
    <x v="2"/>
    <s v="sem"/>
    <s v="sem"/>
    <m/>
    <m/>
    <n v="117478"/>
    <n v="112072"/>
    <n v="30004"/>
    <n v="30364"/>
    <n v="120351"/>
    <n v="121685"/>
    <n v="267833"/>
    <n v="0"/>
    <n v="8927.7666666666664"/>
    <n v="264121"/>
    <n v="0"/>
    <n v="8804.0333333333328"/>
    <m/>
    <m/>
    <m/>
    <m/>
    <m/>
    <m/>
    <m/>
    <m/>
    <n v="0"/>
    <m/>
    <n v="0"/>
    <n v="0"/>
    <m/>
    <n v="0"/>
    <m/>
    <m/>
    <n v="17282"/>
    <n v="18453"/>
    <n v="6831"/>
    <n v="6669"/>
    <n v="19037"/>
    <n v="20663"/>
    <n v="43150"/>
    <n v="1797.9166666666667"/>
    <n v="45785"/>
    <n v="1907.7083333333333"/>
    <n v="10725.683333333332"/>
    <n v="10711.741666666667"/>
  </r>
  <r>
    <x v="3"/>
    <s v="University of North Florida"/>
    <n v="136172"/>
    <x v="2"/>
    <s v="sem"/>
    <s v="sem"/>
    <m/>
    <m/>
    <n v="154619"/>
    <n v="156117"/>
    <n v="58220"/>
    <n v="55682"/>
    <n v="168523"/>
    <n v="155222"/>
    <n v="381362"/>
    <n v="928"/>
    <n v="12712.066666666668"/>
    <n v="367021"/>
    <n v="990"/>
    <n v="12234.033333333333"/>
    <m/>
    <m/>
    <m/>
    <m/>
    <m/>
    <m/>
    <m/>
    <m/>
    <n v="0"/>
    <m/>
    <n v="0"/>
    <n v="0"/>
    <m/>
    <n v="0"/>
    <m/>
    <m/>
    <n v="10036"/>
    <n v="11658"/>
    <n v="7382"/>
    <n v="8144"/>
    <n v="12193"/>
    <n v="12745"/>
    <n v="29611"/>
    <n v="1233.7916666666667"/>
    <n v="32547"/>
    <n v="1356.125"/>
    <n v="13945.858333333334"/>
    <n v="13590.158333333333"/>
  </r>
  <r>
    <x v="3"/>
    <s v="University of West Florida"/>
    <n v="138354"/>
    <x v="2"/>
    <s v="sem"/>
    <s v="sem"/>
    <m/>
    <m/>
    <n v="88325"/>
    <n v="91112.5"/>
    <n v="32217"/>
    <n v="32780"/>
    <n v="97248"/>
    <n v="97787.5"/>
    <n v="217790"/>
    <n v="295"/>
    <n v="7259.666666666667"/>
    <n v="221680"/>
    <n v="239"/>
    <n v="7389.333333333333"/>
    <m/>
    <m/>
    <m/>
    <m/>
    <m/>
    <m/>
    <m/>
    <m/>
    <n v="0"/>
    <m/>
    <n v="0"/>
    <n v="0"/>
    <m/>
    <n v="0"/>
    <m/>
    <m/>
    <n v="7947"/>
    <n v="7973"/>
    <n v="6703"/>
    <n v="6477.5"/>
    <n v="8770.5"/>
    <n v="8698.5"/>
    <n v="23420.5"/>
    <n v="975.85416666666663"/>
    <n v="23149"/>
    <n v="964.54166666666663"/>
    <n v="8235.5208333333339"/>
    <n v="8353.875"/>
  </r>
  <r>
    <x v="3"/>
    <s v="Florida Gulf Coast University"/>
    <n v="433660"/>
    <x v="3"/>
    <s v="sem"/>
    <s v="sem"/>
    <m/>
    <m/>
    <n v="79304"/>
    <n v="90997"/>
    <n v="21153"/>
    <n v="24282"/>
    <n v="96557"/>
    <n v="106691"/>
    <n v="197014"/>
    <n v="192"/>
    <n v="6567.1333333333332"/>
    <n v="221970"/>
    <n v="325"/>
    <n v="7399"/>
    <m/>
    <m/>
    <m/>
    <m/>
    <m/>
    <m/>
    <m/>
    <m/>
    <n v="0"/>
    <m/>
    <n v="0"/>
    <n v="0"/>
    <m/>
    <n v="0"/>
    <m/>
    <m/>
    <n v="6052"/>
    <n v="6476"/>
    <n v="3471"/>
    <n v="4326"/>
    <n v="6474"/>
    <n v="8038"/>
    <n v="15997"/>
    <n v="666.54166666666663"/>
    <n v="18840"/>
    <n v="785"/>
    <n v="7233.6750000000002"/>
    <n v="8184"/>
  </r>
  <r>
    <x v="3"/>
    <s v="New College of Florida"/>
    <n v="262129"/>
    <x v="5"/>
    <s v="sem"/>
    <s v="sem"/>
    <m/>
    <m/>
    <n v="11224"/>
    <n v="11988"/>
    <m/>
    <m/>
    <n v="14524"/>
    <n v="14796"/>
    <n v="25748"/>
    <n v="0"/>
    <n v="858.26666666666665"/>
    <n v="26784"/>
    <n v="0"/>
    <n v="892.8"/>
    <m/>
    <m/>
    <m/>
    <m/>
    <m/>
    <m/>
    <m/>
    <m/>
    <n v="0"/>
    <m/>
    <n v="0"/>
    <n v="0"/>
    <m/>
    <n v="0"/>
    <m/>
    <m/>
    <m/>
    <m/>
    <m/>
    <m/>
    <m/>
    <m/>
    <n v="0"/>
    <n v="0"/>
    <n v="0"/>
    <n v="0"/>
    <n v="858.26666666666665"/>
    <n v="892.8"/>
  </r>
  <r>
    <x v="3"/>
    <s v="Chipola College "/>
    <n v="133021"/>
    <x v="12"/>
    <s v="sem"/>
    <s v="sem"/>
    <m/>
    <m/>
    <n v="16709"/>
    <n v="17114"/>
    <n v="4588"/>
    <n v="5427"/>
    <n v="18024"/>
    <n v="20776"/>
    <n v="39321"/>
    <m/>
    <n v="1310.7"/>
    <n v="43317"/>
    <n v="3901"/>
    <n v="1443.9"/>
    <m/>
    <m/>
    <n v="109232"/>
    <n v="77854"/>
    <n v="56264"/>
    <n v="35962"/>
    <n v="95770"/>
    <n v="74951"/>
    <n v="261266"/>
    <m/>
    <n v="290.29555555555555"/>
    <n v="188767"/>
    <n v="8267"/>
    <n v="209.74111111111111"/>
    <m/>
    <m/>
    <m/>
    <m/>
    <m/>
    <m/>
    <m/>
    <m/>
    <n v="0"/>
    <n v="0"/>
    <n v="0"/>
    <n v="0"/>
    <n v="1600.9955555555557"/>
    <n v="1653.6411111111113"/>
  </r>
  <r>
    <x v="3"/>
    <s v="Miami Dade College "/>
    <n v="135717"/>
    <x v="12"/>
    <s v="sem"/>
    <s v="sem"/>
    <m/>
    <m/>
    <n v="482502"/>
    <n v="516312"/>
    <n v="262119"/>
    <n v="272485"/>
    <n v="536601"/>
    <n v="565389"/>
    <n v="1281222"/>
    <m/>
    <n v="42707.4"/>
    <n v="1354186"/>
    <n v="19963"/>
    <n v="45139.533333333333"/>
    <m/>
    <m/>
    <n v="2929078"/>
    <n v="3045387"/>
    <n v="2714207"/>
    <n v="2796873"/>
    <n v="2818225"/>
    <n v="2959024"/>
    <n v="8461510"/>
    <m/>
    <n v="9401.677777777777"/>
    <n v="8801284"/>
    <n v="0"/>
    <n v="9779.2044444444437"/>
    <m/>
    <m/>
    <m/>
    <m/>
    <m/>
    <m/>
    <m/>
    <m/>
    <n v="0"/>
    <n v="0"/>
    <n v="0"/>
    <n v="0"/>
    <n v="52109.077777777777"/>
    <n v="54918.737777777773"/>
  </r>
  <r>
    <x v="3"/>
    <s v="Northwest Florida State College"/>
    <n v="136233"/>
    <x v="12"/>
    <s v="sem"/>
    <s v="sem"/>
    <m/>
    <m/>
    <n v="54199"/>
    <n v="59403"/>
    <n v="23768"/>
    <n v="26034"/>
    <n v="61229"/>
    <n v="65288"/>
    <n v="139196"/>
    <m/>
    <n v="4639.8666666666668"/>
    <n v="150725"/>
    <n v="5983"/>
    <n v="5024.166666666667"/>
    <m/>
    <m/>
    <n v="127589"/>
    <n v="138334"/>
    <n v="94723"/>
    <n v="83715"/>
    <n v="139018"/>
    <n v="145682"/>
    <n v="361330"/>
    <m/>
    <n v="401.47777777777776"/>
    <n v="367731"/>
    <n v="0"/>
    <n v="408.59"/>
    <m/>
    <m/>
    <m/>
    <m/>
    <m/>
    <m/>
    <m/>
    <m/>
    <n v="0"/>
    <n v="0"/>
    <n v="0"/>
    <n v="0"/>
    <n v="5041.3444444444449"/>
    <n v="5432.7566666666671"/>
  </r>
  <r>
    <x v="3"/>
    <s v="St. Petersburg College "/>
    <n v="137078"/>
    <x v="12"/>
    <s v="sem"/>
    <s v="sem"/>
    <m/>
    <m/>
    <n v="201520"/>
    <n v="212497"/>
    <n v="80572"/>
    <n v="85117"/>
    <n v="217859"/>
    <n v="229163"/>
    <n v="499951"/>
    <m/>
    <n v="16665.033333333333"/>
    <n v="526777"/>
    <n v="17910"/>
    <n v="17559.233333333334"/>
    <m/>
    <m/>
    <n v="179865"/>
    <n v="147103"/>
    <n v="115131"/>
    <n v="88374"/>
    <n v="168954"/>
    <n v="174167"/>
    <n v="463950"/>
    <m/>
    <n v="515.5"/>
    <n v="409644"/>
    <n v="0"/>
    <n v="455.16"/>
    <m/>
    <m/>
    <m/>
    <m/>
    <m/>
    <m/>
    <m/>
    <m/>
    <n v="0"/>
    <n v="0"/>
    <n v="0"/>
    <n v="0"/>
    <n v="17180.533333333333"/>
    <n v="18014.393333333333"/>
  </r>
  <r>
    <x v="3"/>
    <s v="Brevard Community College "/>
    <n v="132693"/>
    <x v="6"/>
    <s v="sem"/>
    <s v="sem"/>
    <m/>
    <m/>
    <n v="106708"/>
    <n v="121486"/>
    <n v="39646"/>
    <n v="39473"/>
    <n v="123477"/>
    <n v="133277"/>
    <n v="269831"/>
    <m/>
    <n v="8994.3666666666668"/>
    <n v="294236"/>
    <n v="33203"/>
    <n v="9807.8666666666668"/>
    <m/>
    <m/>
    <n v="544234"/>
    <n v="508014"/>
    <n v="175054"/>
    <n v="182056"/>
    <n v="578101"/>
    <n v="655185"/>
    <n v="1297389"/>
    <m/>
    <n v="1441.5433333333333"/>
    <n v="1345255"/>
    <n v="81951"/>
    <n v="1494.7277777777779"/>
    <m/>
    <m/>
    <m/>
    <m/>
    <m/>
    <m/>
    <m/>
    <m/>
    <n v="0"/>
    <n v="0"/>
    <n v="0"/>
    <n v="0"/>
    <n v="10435.91"/>
    <n v="11302.594444444445"/>
  </r>
  <r>
    <x v="3"/>
    <s v="Broward Community College "/>
    <n v="132709"/>
    <x v="6"/>
    <s v="sem"/>
    <s v="sem"/>
    <m/>
    <m/>
    <n v="254715"/>
    <n v="270956"/>
    <n v="122027"/>
    <n v="133254"/>
    <n v="274548"/>
    <n v="289901"/>
    <n v="651290"/>
    <m/>
    <n v="21709.666666666668"/>
    <n v="694111"/>
    <n v="24859"/>
    <n v="23137.033333333333"/>
    <m/>
    <m/>
    <n v="348944"/>
    <n v="273147"/>
    <n v="151200"/>
    <n v="169468"/>
    <n v="279108"/>
    <n v="256481"/>
    <n v="779252"/>
    <m/>
    <n v="865.83555555555552"/>
    <n v="699096"/>
    <n v="0"/>
    <n v="776.77333333333331"/>
    <m/>
    <m/>
    <m/>
    <m/>
    <m/>
    <m/>
    <m/>
    <m/>
    <n v="0"/>
    <n v="0"/>
    <n v="0"/>
    <n v="0"/>
    <n v="22575.502222222225"/>
    <n v="23913.806666666667"/>
  </r>
  <r>
    <x v="3"/>
    <s v="Daytona Beach Community College "/>
    <n v="133386"/>
    <x v="6"/>
    <s v="sem"/>
    <s v="sem"/>
    <m/>
    <m/>
    <n v="91438"/>
    <n v="122409"/>
    <n v="36363"/>
    <n v="39427"/>
    <n v="122982"/>
    <n v="138542"/>
    <n v="250783"/>
    <m/>
    <n v="8359.4333333333325"/>
    <n v="300378"/>
    <n v="17480"/>
    <n v="10012.6"/>
    <m/>
    <m/>
    <n v="783073"/>
    <n v="1163385"/>
    <n v="662056"/>
    <n v="628110"/>
    <n v="1378669"/>
    <n v="1107943"/>
    <n v="2823798"/>
    <m/>
    <n v="3137.5533333333333"/>
    <n v="2899438"/>
    <n v="33028"/>
    <n v="3221.597777777778"/>
    <m/>
    <m/>
    <m/>
    <m/>
    <m/>
    <m/>
    <m/>
    <m/>
    <n v="0"/>
    <n v="0"/>
    <n v="0"/>
    <n v="0"/>
    <n v="11496.986666666666"/>
    <n v="13234.197777777779"/>
  </r>
  <r>
    <x v="3"/>
    <s v="Edison State College "/>
    <n v="133508"/>
    <x v="6"/>
    <s v="sem"/>
    <s v="sem"/>
    <m/>
    <m/>
    <n v="87413"/>
    <n v="99439"/>
    <n v="39457"/>
    <n v="43790"/>
    <n v="103017"/>
    <n v="116839"/>
    <n v="229887"/>
    <m/>
    <n v="7662.9"/>
    <n v="260068"/>
    <n v="15951"/>
    <n v="8668.9333333333325"/>
    <m/>
    <m/>
    <n v="24321"/>
    <n v="21084"/>
    <n v="4956"/>
    <n v="8943"/>
    <n v="30300"/>
    <n v="19383"/>
    <n v="59577"/>
    <m/>
    <n v="66.196666666666673"/>
    <n v="49410"/>
    <n v="0"/>
    <n v="54.9"/>
    <m/>
    <m/>
    <m/>
    <m/>
    <m/>
    <m/>
    <m/>
    <m/>
    <n v="0"/>
    <n v="0"/>
    <n v="0"/>
    <n v="0"/>
    <n v="7729.0966666666664"/>
    <n v="8723.8333333333321"/>
  </r>
  <r>
    <x v="3"/>
    <s v="Florida Community College at Jacksonville"/>
    <n v="133702"/>
    <x v="6"/>
    <s v="sem"/>
    <s v="sem"/>
    <m/>
    <m/>
    <n v="188630"/>
    <n v="188007"/>
    <n v="91652"/>
    <n v="102116"/>
    <n v="185408"/>
    <n v="212972"/>
    <n v="465690"/>
    <m/>
    <n v="15523"/>
    <n v="503095"/>
    <n v="16802"/>
    <n v="16769.833333333332"/>
    <m/>
    <m/>
    <n v="1938236"/>
    <n v="2726747"/>
    <n v="1557342"/>
    <n v="1580613"/>
    <n v="2125872"/>
    <n v="2353574"/>
    <n v="5621450"/>
    <m/>
    <n v="6246.0555555555557"/>
    <n v="6660934"/>
    <n v="35629"/>
    <n v="7401.0377777777776"/>
    <m/>
    <m/>
    <m/>
    <m/>
    <m/>
    <m/>
    <m/>
    <m/>
    <n v="0"/>
    <n v="0"/>
    <n v="0"/>
    <n v="0"/>
    <n v="21769.055555555555"/>
    <n v="24170.871111111112"/>
  </r>
  <r>
    <x v="3"/>
    <s v="Hillsborough Community College "/>
    <n v="134495"/>
    <x v="6"/>
    <s v="sem"/>
    <s v="sem"/>
    <m/>
    <m/>
    <n v="180569"/>
    <n v="183758"/>
    <n v="63753"/>
    <n v="71207"/>
    <n v="194099"/>
    <n v="209829"/>
    <n v="438421"/>
    <m/>
    <n v="14614.033333333333"/>
    <n v="464794"/>
    <n v="7057"/>
    <n v="15493.133333333333"/>
    <m/>
    <m/>
    <n v="958274"/>
    <n v="921346"/>
    <n v="202451"/>
    <n v="237818"/>
    <n v="1031724"/>
    <n v="998985"/>
    <n v="2192449"/>
    <m/>
    <n v="2436.0544444444445"/>
    <n v="2158149"/>
    <n v="0"/>
    <n v="2397.9433333333332"/>
    <m/>
    <m/>
    <m/>
    <m/>
    <m/>
    <m/>
    <m/>
    <m/>
    <n v="0"/>
    <n v="0"/>
    <n v="0"/>
    <n v="0"/>
    <n v="17050.087777777779"/>
    <n v="17891.076666666668"/>
  </r>
  <r>
    <x v="3"/>
    <s v="Indian River Community College "/>
    <n v="134608"/>
    <x v="6"/>
    <s v="sem"/>
    <s v="sem"/>
    <m/>
    <m/>
    <n v="93140"/>
    <n v="102345"/>
    <n v="45307"/>
    <n v="52438"/>
    <n v="106882"/>
    <n v="115550"/>
    <n v="245329"/>
    <m/>
    <n v="8177.6333333333332"/>
    <n v="270333"/>
    <n v="21351"/>
    <n v="9011.1"/>
    <m/>
    <m/>
    <n v="1176844"/>
    <n v="1186062"/>
    <n v="894355"/>
    <n v="887799"/>
    <n v="1255625"/>
    <n v="1107926"/>
    <n v="3326824"/>
    <m/>
    <n v="3696.471111111111"/>
    <n v="3181787"/>
    <n v="44814"/>
    <n v="3535.318888888889"/>
    <m/>
    <m/>
    <m/>
    <m/>
    <m/>
    <m/>
    <m/>
    <m/>
    <n v="0"/>
    <n v="0"/>
    <n v="0"/>
    <n v="0"/>
    <n v="11874.104444444445"/>
    <n v="12546.418888888889"/>
  </r>
  <r>
    <x v="3"/>
    <s v="Manatee Community College "/>
    <n v="135391"/>
    <x v="6"/>
    <s v="sem"/>
    <s v="sem"/>
    <m/>
    <m/>
    <n v="86638"/>
    <n v="96769"/>
    <n v="31306"/>
    <n v="35429"/>
    <n v="98837"/>
    <n v="109207"/>
    <n v="216781"/>
    <m/>
    <n v="7226.0333333333338"/>
    <n v="241405"/>
    <n v="11782"/>
    <n v="8046.833333333333"/>
    <m/>
    <m/>
    <n v="64094"/>
    <n v="58856"/>
    <n v="51933"/>
    <n v="67213"/>
    <n v="52183"/>
    <n v="50870"/>
    <n v="168210"/>
    <m/>
    <n v="186.9"/>
    <n v="176939"/>
    <n v="0"/>
    <n v="196.59888888888889"/>
    <m/>
    <m/>
    <m/>
    <m/>
    <m/>
    <m/>
    <m/>
    <m/>
    <n v="0"/>
    <n v="0"/>
    <n v="0"/>
    <n v="0"/>
    <n v="7412.9333333333334"/>
    <n v="8243.4322222222218"/>
  </r>
  <r>
    <x v="3"/>
    <s v="Palm Beach Community College "/>
    <n v="136358"/>
    <x v="6"/>
    <s v="sem"/>
    <s v="sem"/>
    <m/>
    <m/>
    <n v="156377"/>
    <n v="172359"/>
    <n v="66675"/>
    <n v="77001"/>
    <n v="179785"/>
    <n v="202507"/>
    <n v="402837"/>
    <m/>
    <n v="13427.9"/>
    <n v="451867"/>
    <n v="10397"/>
    <n v="15062.233333333334"/>
    <m/>
    <m/>
    <n v="1131100"/>
    <n v="960460"/>
    <n v="561057"/>
    <n v="582060"/>
    <n v="936356"/>
    <n v="884467"/>
    <n v="2628513"/>
    <m/>
    <n v="2920.57"/>
    <n v="2426987"/>
    <n v="274"/>
    <n v="2696.652222222222"/>
    <m/>
    <m/>
    <m/>
    <m/>
    <m/>
    <m/>
    <m/>
    <m/>
    <n v="0"/>
    <n v="0"/>
    <n v="0"/>
    <n v="0"/>
    <n v="16348.47"/>
    <n v="17758.885555555556"/>
  </r>
  <r>
    <x v="3"/>
    <s v="Pasco-Hernando Community College "/>
    <n v="136400"/>
    <x v="6"/>
    <s v="sem"/>
    <s v="sem"/>
    <m/>
    <m/>
    <n v="60244"/>
    <n v="66278"/>
    <n v="18469"/>
    <n v="20786"/>
    <n v="68806"/>
    <n v="74361"/>
    <n v="147519"/>
    <m/>
    <n v="4917.3"/>
    <n v="161425"/>
    <n v="13905"/>
    <n v="5380.833333333333"/>
    <m/>
    <m/>
    <n v="160216"/>
    <n v="157103"/>
    <n v="85878"/>
    <n v="88947"/>
    <n v="166232"/>
    <n v="159128"/>
    <n v="412326"/>
    <m/>
    <n v="458.14"/>
    <n v="405178"/>
    <n v="4700"/>
    <n v="450.19777777777779"/>
    <m/>
    <m/>
    <m/>
    <m/>
    <m/>
    <m/>
    <m/>
    <m/>
    <n v="0"/>
    <n v="0"/>
    <n v="0"/>
    <n v="0"/>
    <n v="5375.4400000000005"/>
    <n v="5831.0311111111105"/>
  </r>
  <r>
    <x v="3"/>
    <s v="Pensacola Junior College "/>
    <n v="136473"/>
    <x v="6"/>
    <s v="sem"/>
    <s v="sem"/>
    <m/>
    <m/>
    <n v="85876"/>
    <n v="91540"/>
    <n v="32973"/>
    <n v="34536"/>
    <n v="93910"/>
    <n v="94363"/>
    <n v="212759"/>
    <m/>
    <n v="7091.9666666666662"/>
    <n v="220439"/>
    <n v="25151"/>
    <n v="7347.9666666666662"/>
    <m/>
    <m/>
    <n v="366256"/>
    <n v="401564"/>
    <n v="236255"/>
    <n v="265990"/>
    <n v="399499"/>
    <n v="463155"/>
    <n v="1002010"/>
    <m/>
    <n v="1113.3444444444444"/>
    <n v="1130709"/>
    <n v="2640"/>
    <n v="1256.3433333333332"/>
    <m/>
    <m/>
    <m/>
    <m/>
    <m/>
    <m/>
    <m/>
    <m/>
    <n v="0"/>
    <n v="0"/>
    <n v="0"/>
    <n v="0"/>
    <n v="8205.3111111111102"/>
    <n v="8604.31"/>
  </r>
  <r>
    <x v="3"/>
    <s v="Santa Fe Community College "/>
    <n v="137096"/>
    <x v="6"/>
    <s v="sem"/>
    <s v="sem"/>
    <m/>
    <m/>
    <n v="130849"/>
    <n v="139690"/>
    <n v="55092"/>
    <n v="57454"/>
    <n v="147209"/>
    <n v="146574"/>
    <n v="333150"/>
    <m/>
    <n v="11105"/>
    <n v="343718"/>
    <n v="11616"/>
    <n v="11457.266666666666"/>
    <m/>
    <m/>
    <n v="241689"/>
    <n v="61518"/>
    <n v="179176"/>
    <n v="166674"/>
    <n v="279336"/>
    <n v="276021"/>
    <n v="700201"/>
    <m/>
    <n v="778.00111111111107"/>
    <n v="504213"/>
    <n v="2726"/>
    <n v="560.23666666666668"/>
    <m/>
    <m/>
    <m/>
    <m/>
    <m/>
    <m/>
    <m/>
    <m/>
    <n v="0"/>
    <n v="0"/>
    <n v="0"/>
    <n v="0"/>
    <n v="11883.001111111111"/>
    <n v="12017.503333333334"/>
  </r>
  <r>
    <x v="3"/>
    <s v="Seminole Community College "/>
    <n v="137209"/>
    <x v="6"/>
    <s v="sem"/>
    <s v="sem"/>
    <m/>
    <m/>
    <n v="93204"/>
    <n v="103483"/>
    <n v="39908"/>
    <n v="46304"/>
    <n v="107231"/>
    <n v="122395"/>
    <n v="240343"/>
    <m/>
    <n v="8011.4333333333334"/>
    <n v="272182"/>
    <n v="4876"/>
    <n v="9072.7333333333336"/>
    <m/>
    <m/>
    <n v="780608"/>
    <n v="826727"/>
    <n v="522615"/>
    <n v="554733"/>
    <n v="815146"/>
    <n v="778892"/>
    <n v="2118369"/>
    <m/>
    <n v="2353.7433333333333"/>
    <n v="2160352"/>
    <n v="20469"/>
    <n v="2400.3911111111111"/>
    <m/>
    <m/>
    <m/>
    <m/>
    <m/>
    <m/>
    <m/>
    <m/>
    <n v="0"/>
    <n v="0"/>
    <n v="0"/>
    <n v="0"/>
    <n v="10365.176666666666"/>
    <n v="11473.124444444446"/>
  </r>
  <r>
    <x v="3"/>
    <s v="Tallahassee Community College "/>
    <n v="137759"/>
    <x v="6"/>
    <s v="sem"/>
    <s v="sem"/>
    <m/>
    <m/>
    <n v="119831"/>
    <n v="120032"/>
    <n v="52232"/>
    <n v="53130"/>
    <n v="131808"/>
    <n v="135412"/>
    <n v="303871"/>
    <m/>
    <n v="10129.033333333333"/>
    <n v="308574"/>
    <n v="8713"/>
    <n v="10285.799999999999"/>
    <m/>
    <m/>
    <n v="432280"/>
    <n v="536091"/>
    <n v="594919"/>
    <n v="335499"/>
    <n v="480111"/>
    <n v="545793"/>
    <n v="1507310"/>
    <m/>
    <n v="1674.7888888888888"/>
    <n v="1417383"/>
    <n v="12696"/>
    <n v="1574.87"/>
    <m/>
    <m/>
    <m/>
    <m/>
    <m/>
    <m/>
    <m/>
    <m/>
    <n v="0"/>
    <n v="0"/>
    <n v="0"/>
    <n v="0"/>
    <n v="11803.822222222221"/>
    <n v="11860.669999999998"/>
  </r>
  <r>
    <x v="3"/>
    <s v="Valencia Community College "/>
    <n v="138187"/>
    <x v="6"/>
    <s v="sem"/>
    <s v="sem"/>
    <m/>
    <m/>
    <n v="254190"/>
    <n v="283518"/>
    <n v="113654"/>
    <n v="129718"/>
    <n v="297462"/>
    <n v="323992"/>
    <n v="665306"/>
    <m/>
    <n v="22176.866666666665"/>
    <n v="737228"/>
    <n v="25442"/>
    <n v="24574.266666666666"/>
    <m/>
    <m/>
    <n v="310139"/>
    <n v="306819"/>
    <n v="108268"/>
    <n v="139516"/>
    <n v="250104"/>
    <n v="228973"/>
    <n v="668511"/>
    <m/>
    <n v="742.79"/>
    <n v="675308"/>
    <n v="0"/>
    <n v="750.34222222222218"/>
    <m/>
    <m/>
    <m/>
    <m/>
    <m/>
    <m/>
    <m/>
    <m/>
    <n v="0"/>
    <n v="0"/>
    <n v="0"/>
    <n v="0"/>
    <n v="22919.656666666666"/>
    <n v="25324.608888888888"/>
  </r>
  <r>
    <x v="3"/>
    <s v="Central Florida Community College "/>
    <n v="132851"/>
    <x v="7"/>
    <s v="sem"/>
    <s v="sem"/>
    <m/>
    <m/>
    <n v="48396"/>
    <n v="53276"/>
    <n v="15804"/>
    <n v="19721"/>
    <n v="55494"/>
    <n v="61720"/>
    <n v="119694"/>
    <m/>
    <n v="3989.8"/>
    <n v="134717"/>
    <n v="7298"/>
    <n v="4490.5666666666666"/>
    <m/>
    <m/>
    <n v="255414"/>
    <n v="264709"/>
    <n v="197834"/>
    <n v="175180"/>
    <n v="271182"/>
    <n v="232716"/>
    <n v="724430"/>
    <m/>
    <n v="804.92222222222222"/>
    <n v="672605"/>
    <n v="2190"/>
    <n v="747.33888888888885"/>
    <m/>
    <m/>
    <m/>
    <m/>
    <m/>
    <m/>
    <m/>
    <m/>
    <n v="0"/>
    <n v="0"/>
    <n v="0"/>
    <n v="0"/>
    <n v="4794.7222222222226"/>
    <n v="5237.9055555555551"/>
  </r>
  <r>
    <x v="3"/>
    <s v="Gulf Coast Community College "/>
    <n v="134343"/>
    <x v="7"/>
    <s v="sem"/>
    <s v="sem"/>
    <m/>
    <m/>
    <n v="49270"/>
    <n v="52275"/>
    <n v="13801"/>
    <n v="14613"/>
    <n v="55604"/>
    <n v="57368"/>
    <n v="118675"/>
    <m/>
    <n v="3955.8333333333335"/>
    <n v="124256"/>
    <n v="15020"/>
    <n v="4141.8666666666668"/>
    <m/>
    <m/>
    <n v="290326"/>
    <n v="266191"/>
    <n v="177277"/>
    <n v="140050"/>
    <n v="269783"/>
    <n v="225665"/>
    <n v="737386"/>
    <m/>
    <n v="819.31777777777779"/>
    <n v="631906"/>
    <n v="0"/>
    <n v="702.11777777777775"/>
    <m/>
    <m/>
    <m/>
    <m/>
    <m/>
    <m/>
    <m/>
    <m/>
    <n v="0"/>
    <n v="0"/>
    <n v="0"/>
    <n v="0"/>
    <n v="4775.1511111111113"/>
    <n v="4843.9844444444443"/>
  </r>
  <r>
    <x v="3"/>
    <s v="Lake City Community College "/>
    <n v="135160"/>
    <x v="7"/>
    <s v="sem"/>
    <s v="sem"/>
    <m/>
    <m/>
    <n v="21425"/>
    <n v="22720"/>
    <n v="8263"/>
    <n v="9003"/>
    <n v="23745"/>
    <n v="22676"/>
    <n v="53433"/>
    <m/>
    <n v="1781.1"/>
    <n v="54399"/>
    <n v="7403"/>
    <n v="1813.3"/>
    <m/>
    <m/>
    <n v="191382"/>
    <n v="94721"/>
    <n v="189975"/>
    <n v="76693"/>
    <n v="175738"/>
    <n v="84893"/>
    <n v="557095"/>
    <m/>
    <n v="618.99444444444441"/>
    <n v="256307"/>
    <n v="630"/>
    <n v="284.78555555555556"/>
    <m/>
    <m/>
    <m/>
    <m/>
    <m/>
    <m/>
    <m/>
    <m/>
    <n v="0"/>
    <n v="0"/>
    <n v="0"/>
    <n v="0"/>
    <n v="2400.0944444444444"/>
    <n v="2098.0855555555554"/>
  </r>
  <r>
    <x v="3"/>
    <s v="Lake-Sumter Community College "/>
    <n v="135188"/>
    <x v="7"/>
    <s v="sem"/>
    <s v="sem"/>
    <m/>
    <m/>
    <n v="29613"/>
    <n v="32433"/>
    <n v="9681"/>
    <n v="10603"/>
    <n v="33930"/>
    <n v="36336"/>
    <n v="73224"/>
    <m/>
    <n v="2440.8000000000002"/>
    <n v="79372"/>
    <n v="6832"/>
    <n v="2645.7333333333331"/>
    <m/>
    <m/>
    <n v="15479"/>
    <n v="19177"/>
    <n v="11092"/>
    <n v="18744"/>
    <n v="14051"/>
    <n v="27914"/>
    <n v="40622"/>
    <m/>
    <n v="45.135555555555555"/>
    <n v="65835"/>
    <n v="0"/>
    <n v="73.150000000000006"/>
    <m/>
    <m/>
    <m/>
    <m/>
    <m/>
    <m/>
    <m/>
    <m/>
    <n v="0"/>
    <n v="0"/>
    <n v="0"/>
    <n v="0"/>
    <n v="2485.9355555555558"/>
    <n v="2718.8833333333332"/>
  </r>
  <r>
    <x v="3"/>
    <s v="Polk Community College "/>
    <n v="136516"/>
    <x v="7"/>
    <s v="sem"/>
    <s v="sem"/>
    <m/>
    <m/>
    <n v="55901"/>
    <n v="62691"/>
    <n v="22589"/>
    <n v="26582"/>
    <n v="64860"/>
    <n v="73173"/>
    <n v="143350"/>
    <m/>
    <n v="4778.333333333333"/>
    <n v="162446"/>
    <n v="13762"/>
    <n v="5414.8666666666668"/>
    <m/>
    <m/>
    <n v="126523"/>
    <n v="108646"/>
    <n v="96070"/>
    <n v="61594"/>
    <n v="75425"/>
    <n v="86814"/>
    <n v="298018"/>
    <m/>
    <n v="331.13111111111112"/>
    <n v="257054"/>
    <n v="0"/>
    <n v="285.61555555555555"/>
    <m/>
    <m/>
    <m/>
    <m/>
    <m/>
    <m/>
    <m/>
    <m/>
    <n v="0"/>
    <n v="0"/>
    <n v="0"/>
    <n v="0"/>
    <n v="5109.4644444444439"/>
    <n v="5700.4822222222219"/>
  </r>
  <r>
    <x v="3"/>
    <s v="South Florida Community College "/>
    <n v="137315"/>
    <x v="7"/>
    <s v="sem"/>
    <s v="sem"/>
    <m/>
    <m/>
    <n v="15817"/>
    <n v="17445"/>
    <n v="4792"/>
    <n v="5400"/>
    <n v="18086"/>
    <n v="19738"/>
    <n v="38695"/>
    <m/>
    <n v="1289.8333333333333"/>
    <n v="42583"/>
    <n v="5166"/>
    <n v="1419.4333333333334"/>
    <m/>
    <m/>
    <n v="385847"/>
    <n v="430118"/>
    <n v="234043"/>
    <n v="248597"/>
    <n v="479933"/>
    <n v="468793"/>
    <n v="1099823"/>
    <m/>
    <n v="1222.0255555555555"/>
    <n v="1147508"/>
    <n v="131644"/>
    <n v="1275.0088888888888"/>
    <m/>
    <m/>
    <m/>
    <m/>
    <m/>
    <m/>
    <m/>
    <m/>
    <n v="0"/>
    <n v="0"/>
    <n v="0"/>
    <n v="0"/>
    <n v="2511.8588888888889"/>
    <n v="2694.442222222222"/>
  </r>
  <r>
    <x v="3"/>
    <s v="St. Johns River Community College "/>
    <n v="137281"/>
    <x v="7"/>
    <s v="sem"/>
    <s v="sem"/>
    <m/>
    <m/>
    <n v="39458"/>
    <n v="43468"/>
    <n v="16660"/>
    <n v="19427"/>
    <n v="44183"/>
    <n v="48449"/>
    <n v="100301"/>
    <m/>
    <n v="3343.3666666666668"/>
    <n v="111344"/>
    <n v="10096"/>
    <n v="3711.4666666666667"/>
    <m/>
    <m/>
    <n v="215914"/>
    <n v="221359"/>
    <n v="145527"/>
    <n v="135469"/>
    <n v="276313"/>
    <n v="243580"/>
    <n v="637754"/>
    <m/>
    <n v="708.6155555555556"/>
    <n v="600408"/>
    <n v="0"/>
    <n v="667.12"/>
    <m/>
    <m/>
    <m/>
    <m/>
    <m/>
    <m/>
    <m/>
    <m/>
    <n v="0"/>
    <n v="0"/>
    <n v="0"/>
    <n v="0"/>
    <n v="4051.9822222222224"/>
    <n v="4378.586666666667"/>
  </r>
  <r>
    <x v="3"/>
    <s v="Florida Keys Community College "/>
    <n v="133960"/>
    <x v="8"/>
    <s v="sem"/>
    <s v="sem"/>
    <m/>
    <m/>
    <n v="8333"/>
    <n v="9933"/>
    <n v="3910"/>
    <n v="3613"/>
    <n v="8371"/>
    <n v="10982"/>
    <n v="20614"/>
    <m/>
    <n v="687.13333333333333"/>
    <n v="24528"/>
    <n v="2702"/>
    <n v="817.6"/>
    <m/>
    <m/>
    <n v="26332"/>
    <n v="18522"/>
    <n v="9692"/>
    <n v="8988"/>
    <n v="16461"/>
    <n v="24487"/>
    <n v="52485"/>
    <m/>
    <n v="58.31666666666667"/>
    <n v="51997"/>
    <n v="0"/>
    <n v="57.774444444444441"/>
    <m/>
    <m/>
    <m/>
    <m/>
    <m/>
    <m/>
    <m/>
    <m/>
    <n v="0"/>
    <n v="0"/>
    <n v="0"/>
    <n v="0"/>
    <n v="745.45"/>
    <n v="875.37444444444441"/>
  </r>
  <r>
    <x v="3"/>
    <s v="North Florida Community College "/>
    <n v="136145"/>
    <x v="8"/>
    <s v="sem"/>
    <s v="sem"/>
    <m/>
    <m/>
    <n v="9530"/>
    <n v="9577"/>
    <n v="2506"/>
    <n v="2664"/>
    <n v="11594"/>
    <n v="9725"/>
    <n v="23630"/>
    <m/>
    <n v="787.66666666666663"/>
    <n v="21966"/>
    <n v="3131"/>
    <n v="732.2"/>
    <m/>
    <m/>
    <n v="65180"/>
    <n v="54381"/>
    <n v="23097"/>
    <n v="24601"/>
    <n v="74312"/>
    <n v="75293"/>
    <n v="162589"/>
    <m/>
    <n v="180.65444444444444"/>
    <n v="154275"/>
    <n v="180"/>
    <n v="171.41666666666666"/>
    <m/>
    <m/>
    <m/>
    <m/>
    <m/>
    <m/>
    <m/>
    <m/>
    <n v="0"/>
    <n v="0"/>
    <n v="0"/>
    <n v="0"/>
    <n v="968.32111111111112"/>
    <n v="903.61666666666667"/>
  </r>
  <r>
    <x v="4"/>
    <s v="Georgia State University "/>
    <n v="139940"/>
    <x v="0"/>
    <s v="sem"/>
    <s v="sem"/>
    <m/>
    <m/>
    <n v="226350.5"/>
    <n v="238791"/>
    <n v="69199"/>
    <n v="70525"/>
    <n v="247974"/>
    <n v="258599.5"/>
    <n v="543523.5"/>
    <m/>
    <n v="18117.45"/>
    <n v="567915.5"/>
    <n v="1895"/>
    <n v="18930.516666666666"/>
    <m/>
    <m/>
    <m/>
    <m/>
    <m/>
    <m/>
    <m/>
    <m/>
    <n v="0"/>
    <m/>
    <n v="0"/>
    <n v="0"/>
    <m/>
    <n v="0"/>
    <m/>
    <m/>
    <n v="70707.5"/>
    <n v="73973.5"/>
    <n v="43126"/>
    <n v="45385"/>
    <n v="77697.5"/>
    <n v="80625.5"/>
    <n v="191531"/>
    <n v="7980.458333333333"/>
    <n v="199984"/>
    <n v="8332.6666666666661"/>
    <n v="26097.908333333333"/>
    <n v="27263.183333333334"/>
  </r>
  <r>
    <x v="4"/>
    <s v="University of Georgia"/>
    <n v="139959"/>
    <x v="0"/>
    <s v="sem"/>
    <s v="sem"/>
    <m/>
    <m/>
    <n v="327043.5"/>
    <n v="324391.5"/>
    <n v="60355"/>
    <n v="60782"/>
    <n v="342584.7"/>
    <n v="344966.8"/>
    <n v="729983.2"/>
    <m/>
    <n v="24332.773333333331"/>
    <n v="730140.3"/>
    <n v="239"/>
    <n v="24338.010000000002"/>
    <m/>
    <m/>
    <m/>
    <m/>
    <m/>
    <m/>
    <m/>
    <m/>
    <n v="0"/>
    <m/>
    <n v="0"/>
    <n v="0"/>
    <m/>
    <n v="0"/>
    <m/>
    <m/>
    <n v="92721.7"/>
    <n v="91334.1"/>
    <n v="38836"/>
    <n v="39373.599999999999"/>
    <n v="93994.4"/>
    <n v="96843.199999999997"/>
    <n v="225552.1"/>
    <n v="9398.0041666666675"/>
    <n v="227550.90000000002"/>
    <n v="9481.2875000000004"/>
    <n v="33730.777499999997"/>
    <n v="33819.297500000001"/>
  </r>
  <r>
    <x v="4"/>
    <s v="Georgia Institute of Technology"/>
    <n v="139755"/>
    <x v="1"/>
    <s v="sem"/>
    <s v="sem"/>
    <m/>
    <m/>
    <n v="161940.5"/>
    <n v="164290"/>
    <n v="38265"/>
    <n v="39122"/>
    <n v="177623"/>
    <n v="180806"/>
    <n v="377828.5"/>
    <m/>
    <n v="12594.283333333333"/>
    <n v="384218"/>
    <n v="1173"/>
    <n v="12807.266666666666"/>
    <m/>
    <m/>
    <m/>
    <m/>
    <m/>
    <m/>
    <m/>
    <m/>
    <n v="0"/>
    <m/>
    <n v="0"/>
    <n v="0"/>
    <m/>
    <n v="0"/>
    <m/>
    <m/>
    <n v="80193"/>
    <n v="84295"/>
    <n v="40196.5"/>
    <n v="41288"/>
    <n v="89061.5"/>
    <n v="92342"/>
    <n v="209451"/>
    <n v="8727.125"/>
    <n v="217925"/>
    <n v="9080.2083333333339"/>
    <n v="21321.408333333333"/>
    <n v="21887.474999999999"/>
  </r>
  <r>
    <x v="4"/>
    <s v="Georgia Southern University"/>
    <n v="139931"/>
    <x v="2"/>
    <s v="sem"/>
    <s v="sem"/>
    <m/>
    <m/>
    <n v="180849"/>
    <n v="186324"/>
    <n v="51010"/>
    <n v="50377"/>
    <n v="200598"/>
    <n v="209026"/>
    <n v="432457"/>
    <m/>
    <n v="14415.233333333334"/>
    <n v="445727"/>
    <n v="1688"/>
    <n v="14857.566666666668"/>
    <m/>
    <m/>
    <m/>
    <m/>
    <m/>
    <m/>
    <m/>
    <m/>
    <n v="0"/>
    <m/>
    <n v="0"/>
    <n v="0"/>
    <m/>
    <n v="0"/>
    <m/>
    <m/>
    <n v="11620"/>
    <n v="12244"/>
    <n v="8056"/>
    <n v="9026"/>
    <n v="12463"/>
    <n v="14391"/>
    <n v="32139"/>
    <n v="1339.125"/>
    <n v="35661"/>
    <n v="1485.875"/>
    <n v="15754.358333333334"/>
    <n v="16343.441666666668"/>
  </r>
  <r>
    <x v="4"/>
    <s v="University of West Georgia"/>
    <n v="141334"/>
    <x v="2"/>
    <s v="sem"/>
    <s v="sem"/>
    <m/>
    <m/>
    <n v="100296"/>
    <n v="107395"/>
    <n v="26002"/>
    <n v="28968"/>
    <n v="113956"/>
    <n v="120212"/>
    <n v="240254"/>
    <m/>
    <n v="8008.4666666666662"/>
    <n v="256575"/>
    <n v="3024"/>
    <n v="8552.5"/>
    <m/>
    <m/>
    <m/>
    <m/>
    <m/>
    <m/>
    <m/>
    <m/>
    <n v="0"/>
    <m/>
    <n v="0"/>
    <n v="0"/>
    <m/>
    <n v="0"/>
    <m/>
    <m/>
    <n v="7980"/>
    <n v="10592"/>
    <n v="8101"/>
    <n v="9941"/>
    <n v="9749"/>
    <n v="11078"/>
    <n v="25830"/>
    <n v="1076.25"/>
    <n v="31611"/>
    <n v="1317.125"/>
    <n v="9084.7166666666672"/>
    <n v="9869.625"/>
  </r>
  <r>
    <x v="4"/>
    <s v="Valdosta State University "/>
    <n v="141264"/>
    <x v="2"/>
    <s v="sem"/>
    <s v="sem"/>
    <m/>
    <m/>
    <n v="115418"/>
    <n v="118862"/>
    <n v="25445"/>
    <n v="24646"/>
    <n v="127969"/>
    <n v="128774"/>
    <n v="268832"/>
    <m/>
    <n v="8961.0666666666675"/>
    <n v="272282"/>
    <n v="372"/>
    <n v="9076.0666666666675"/>
    <m/>
    <m/>
    <m/>
    <m/>
    <m/>
    <m/>
    <m/>
    <m/>
    <n v="0"/>
    <m/>
    <n v="0"/>
    <n v="0"/>
    <m/>
    <n v="0"/>
    <m/>
    <m/>
    <n v="8974"/>
    <n v="10775"/>
    <n v="6977"/>
    <n v="8342"/>
    <n v="10303"/>
    <n v="11628"/>
    <n v="26254"/>
    <n v="1093.9166666666667"/>
    <n v="30745"/>
    <n v="1281.0416666666667"/>
    <n v="10054.983333333334"/>
    <n v="10357.108333333334"/>
  </r>
  <r>
    <x v="4"/>
    <s v="Albany State University "/>
    <n v="138716"/>
    <x v="3"/>
    <s v="sem"/>
    <s v="sem"/>
    <m/>
    <m/>
    <n v="44672"/>
    <n v="45830"/>
    <n v="11516"/>
    <n v="11966"/>
    <n v="48168"/>
    <n v="49176"/>
    <n v="104356"/>
    <m/>
    <n v="3478.5333333333333"/>
    <n v="106972"/>
    <n v="27"/>
    <n v="3565.7333333333331"/>
    <m/>
    <m/>
    <m/>
    <m/>
    <m/>
    <m/>
    <m/>
    <m/>
    <n v="0"/>
    <m/>
    <n v="0"/>
    <n v="0"/>
    <m/>
    <n v="0"/>
    <m/>
    <m/>
    <n v="2313"/>
    <n v="2559"/>
    <n v="1882"/>
    <n v="2035"/>
    <n v="2753"/>
    <n v="2634"/>
    <n v="6948"/>
    <n v="289.5"/>
    <n v="7228"/>
    <n v="301.16666666666669"/>
    <n v="3768.0333333333333"/>
    <n v="3866.8999999999996"/>
  </r>
  <r>
    <x v="4"/>
    <s v="Armstrong Atlantic State University"/>
    <n v="138789"/>
    <x v="3"/>
    <s v="sem"/>
    <s v="sem"/>
    <m/>
    <m/>
    <n v="64339.199999999997"/>
    <n v="64535"/>
    <n v="17059"/>
    <n v="17941"/>
    <n v="69224.800000000003"/>
    <n v="72293.899999999994"/>
    <n v="150623"/>
    <m/>
    <n v="5020.7666666666664"/>
    <n v="154769.9"/>
    <n v="874"/>
    <n v="5158.9966666666669"/>
    <m/>
    <m/>
    <m/>
    <m/>
    <m/>
    <m/>
    <m/>
    <m/>
    <n v="0"/>
    <m/>
    <n v="0"/>
    <n v="0"/>
    <m/>
    <n v="0"/>
    <m/>
    <m/>
    <n v="3768"/>
    <n v="4483"/>
    <n v="3001"/>
    <n v="3651"/>
    <n v="4897"/>
    <n v="4833"/>
    <n v="11666"/>
    <n v="486.08333333333331"/>
    <n v="12967"/>
    <n v="540.29166666666663"/>
    <n v="5506.8499999999995"/>
    <n v="5699.2883333333339"/>
  </r>
  <r>
    <x v="4"/>
    <s v="Columbus State University"/>
    <n v="139366"/>
    <x v="3"/>
    <s v="sem"/>
    <s v="sem"/>
    <m/>
    <m/>
    <n v="74756"/>
    <n v="72540"/>
    <n v="21770"/>
    <n v="21280"/>
    <n v="77044"/>
    <n v="80178"/>
    <n v="173570"/>
    <m/>
    <n v="5785.666666666667"/>
    <n v="173998"/>
    <n v="933"/>
    <n v="5799.9333333333334"/>
    <m/>
    <m/>
    <m/>
    <m/>
    <m/>
    <m/>
    <m/>
    <m/>
    <n v="0"/>
    <m/>
    <n v="0"/>
    <n v="0"/>
    <m/>
    <n v="0"/>
    <m/>
    <m/>
    <n v="5561"/>
    <n v="7217"/>
    <n v="4221"/>
    <n v="4927"/>
    <n v="6841"/>
    <n v="7237"/>
    <n v="16623"/>
    <n v="692.625"/>
    <n v="19381"/>
    <n v="807.54166666666663"/>
    <n v="6478.291666666667"/>
    <n v="6607.4750000000004"/>
  </r>
  <r>
    <x v="4"/>
    <s v="Georgia College and State University"/>
    <n v="139861"/>
    <x v="3"/>
    <s v="sem"/>
    <s v="sem"/>
    <m/>
    <m/>
    <n v="65387"/>
    <n v="68831"/>
    <n v="13713"/>
    <n v="13886"/>
    <n v="72773"/>
    <n v="74894"/>
    <n v="151873"/>
    <m/>
    <n v="5062.4333333333334"/>
    <n v="157611"/>
    <n v="366"/>
    <n v="5253.7"/>
    <m/>
    <m/>
    <m/>
    <m/>
    <m/>
    <m/>
    <m/>
    <m/>
    <n v="0"/>
    <m/>
    <n v="0"/>
    <n v="0"/>
    <m/>
    <n v="0"/>
    <m/>
    <m/>
    <n v="6150"/>
    <n v="6609"/>
    <n v="5144"/>
    <n v="5492"/>
    <n v="6599"/>
    <n v="7385"/>
    <n v="17893"/>
    <n v="745.54166666666663"/>
    <n v="19486"/>
    <n v="811.91666666666663"/>
    <n v="5807.9750000000004"/>
    <n v="6065.6166666666668"/>
  </r>
  <r>
    <x v="4"/>
    <s v="Kennesaw State University"/>
    <n v="140164"/>
    <x v="3"/>
    <s v="sem"/>
    <s v="sem"/>
    <m/>
    <m/>
    <n v="201186"/>
    <n v="210012"/>
    <n v="60763"/>
    <n v="64204"/>
    <n v="217998"/>
    <n v="232183"/>
    <n v="479947"/>
    <m/>
    <n v="15998.233333333334"/>
    <n v="506399"/>
    <n v="1953"/>
    <n v="16879.966666666667"/>
    <m/>
    <m/>
    <m/>
    <m/>
    <m/>
    <m/>
    <m/>
    <m/>
    <n v="0"/>
    <m/>
    <n v="0"/>
    <n v="0"/>
    <m/>
    <n v="0"/>
    <m/>
    <m/>
    <n v="14273"/>
    <n v="15950"/>
    <n v="9933"/>
    <n v="10241"/>
    <n v="16176"/>
    <n v="16514"/>
    <n v="40382"/>
    <n v="1682.5833333333333"/>
    <n v="42705"/>
    <n v="1779.375"/>
    <n v="17680.816666666666"/>
    <n v="18659.341666666667"/>
  </r>
  <r>
    <x v="4"/>
    <s v="Augusta State University"/>
    <n v="138983"/>
    <x v="4"/>
    <s v="sem"/>
    <s v="sem"/>
    <m/>
    <m/>
    <n v="61918"/>
    <n v="60974"/>
    <n v="17059"/>
    <n v="16813"/>
    <n v="66190"/>
    <n v="65869"/>
    <n v="145167"/>
    <m/>
    <n v="4838.8999999999996"/>
    <n v="143656"/>
    <n v="736"/>
    <n v="4788.5333333333338"/>
    <m/>
    <m/>
    <m/>
    <m/>
    <m/>
    <m/>
    <m/>
    <m/>
    <n v="0"/>
    <m/>
    <n v="0"/>
    <n v="0"/>
    <m/>
    <n v="0"/>
    <m/>
    <m/>
    <n v="4430"/>
    <n v="5974"/>
    <n v="4789"/>
    <n v="5910"/>
    <n v="5837"/>
    <n v="6756"/>
    <n v="15056"/>
    <n v="627.33333333333337"/>
    <n v="18640"/>
    <n v="776.66666666666663"/>
    <n v="5466.2333333333327"/>
    <n v="5565.2000000000007"/>
  </r>
  <r>
    <x v="4"/>
    <s v="Fort Valley State University"/>
    <n v="139719"/>
    <x v="4"/>
    <s v="sem"/>
    <s v="sem"/>
    <m/>
    <m/>
    <n v="28678"/>
    <n v="30965"/>
    <n v="7524"/>
    <n v="7242"/>
    <n v="33273"/>
    <n v="40265"/>
    <n v="69475"/>
    <m/>
    <n v="2315.8333333333335"/>
    <n v="78472"/>
    <n v="105"/>
    <n v="2615.7333333333331"/>
    <m/>
    <m/>
    <m/>
    <m/>
    <m/>
    <m/>
    <m/>
    <m/>
    <n v="0"/>
    <m/>
    <n v="0"/>
    <n v="0"/>
    <m/>
    <n v="0"/>
    <m/>
    <m/>
    <n v="673"/>
    <n v="748"/>
    <n v="261"/>
    <n v="398"/>
    <n v="526"/>
    <n v="983"/>
    <n v="1460"/>
    <n v="60.833333333333336"/>
    <n v="2129"/>
    <n v="88.708333333333329"/>
    <n v="2376.666666666667"/>
    <n v="2704.4416666666666"/>
  </r>
  <r>
    <x v="4"/>
    <s v="Georgia Southwestern State University"/>
    <n v="139764"/>
    <x v="4"/>
    <s v="sem"/>
    <s v="sem"/>
    <m/>
    <m/>
    <n v="25315"/>
    <n v="25149"/>
    <n v="8003"/>
    <n v="8776"/>
    <n v="27211"/>
    <n v="28960"/>
    <n v="60529"/>
    <m/>
    <n v="2017.6333333333334"/>
    <n v="62885"/>
    <n v="401"/>
    <n v="2096.1666666666665"/>
    <m/>
    <m/>
    <m/>
    <m/>
    <m/>
    <m/>
    <m/>
    <m/>
    <n v="0"/>
    <m/>
    <n v="0"/>
    <n v="0"/>
    <m/>
    <n v="0"/>
    <m/>
    <m/>
    <n v="1575"/>
    <n v="1053"/>
    <n v="1248"/>
    <n v="1029"/>
    <n v="1227"/>
    <n v="2418"/>
    <n v="4050"/>
    <n v="168.75"/>
    <n v="4500"/>
    <n v="187.5"/>
    <n v="2186.3833333333332"/>
    <n v="2283.6666666666665"/>
  </r>
  <r>
    <x v="4"/>
    <s v="North Georgia College and State University"/>
    <n v="140669"/>
    <x v="4"/>
    <s v="sem"/>
    <s v="sem"/>
    <m/>
    <m/>
    <n v="53026"/>
    <n v="56558"/>
    <n v="12329"/>
    <n v="11685"/>
    <n v="60183"/>
    <n v="61500"/>
    <n v="125538"/>
    <m/>
    <n v="4184.6000000000004"/>
    <n v="129743"/>
    <n v="189"/>
    <n v="4324.7666666666664"/>
    <m/>
    <m/>
    <m/>
    <m/>
    <m/>
    <m/>
    <m/>
    <m/>
    <n v="0"/>
    <m/>
    <n v="0"/>
    <n v="0"/>
    <m/>
    <n v="0"/>
    <m/>
    <m/>
    <n v="3196"/>
    <n v="3821"/>
    <n v="4443"/>
    <n v="4234"/>
    <n v="3485"/>
    <n v="3847"/>
    <n v="11124"/>
    <n v="463.5"/>
    <n v="11902"/>
    <n v="495.91666666666669"/>
    <n v="4648.1000000000004"/>
    <n v="4820.6833333333334"/>
  </r>
  <r>
    <x v="4"/>
    <s v="Savannah State University"/>
    <n v="140960"/>
    <x v="4"/>
    <s v="sem"/>
    <s v="sem"/>
    <m/>
    <m/>
    <n v="40353"/>
    <n v="37883"/>
    <n v="9111"/>
    <n v="9232"/>
    <n v="38050"/>
    <n v="44929"/>
    <n v="87514"/>
    <m/>
    <n v="2917.1333333333332"/>
    <n v="92044"/>
    <n v="221"/>
    <n v="3068.1333333333332"/>
    <m/>
    <m/>
    <m/>
    <m/>
    <m/>
    <m/>
    <m/>
    <m/>
    <n v="0"/>
    <m/>
    <n v="0"/>
    <n v="0"/>
    <m/>
    <n v="0"/>
    <m/>
    <m/>
    <n v="1095"/>
    <n v="1055"/>
    <n v="336"/>
    <n v="357"/>
    <n v="1009"/>
    <n v="967"/>
    <n v="2440"/>
    <n v="101.66666666666667"/>
    <n v="2379"/>
    <n v="99.125"/>
    <n v="3018.7999999999997"/>
    <n v="3167.2583333333332"/>
  </r>
  <r>
    <x v="4"/>
    <s v="Clayton State University"/>
    <n v="139311"/>
    <x v="5"/>
    <s v="sem"/>
    <s v="sem"/>
    <m/>
    <m/>
    <n v="61429"/>
    <n v="61913"/>
    <n v="22584"/>
    <n v="23273"/>
    <n v="62939"/>
    <n v="63680"/>
    <n v="146952"/>
    <m/>
    <n v="4898.3999999999996"/>
    <n v="148866"/>
    <n v="2599"/>
    <n v="4962.2"/>
    <m/>
    <m/>
    <m/>
    <m/>
    <m/>
    <m/>
    <m/>
    <m/>
    <n v="0"/>
    <m/>
    <n v="0"/>
    <n v="0"/>
    <m/>
    <n v="0"/>
    <m/>
    <m/>
    <n v="111"/>
    <n v="826"/>
    <n v="57"/>
    <n v="510"/>
    <n v="462"/>
    <n v="1164"/>
    <n v="630"/>
    <n v="26.25"/>
    <n v="2500"/>
    <n v="104.16666666666667"/>
    <n v="4924.6499999999996"/>
    <n v="5066.3666666666668"/>
  </r>
  <r>
    <x v="4"/>
    <s v="Macon State College "/>
    <n v="140322"/>
    <x v="5"/>
    <s v="sem"/>
    <s v="sem"/>
    <m/>
    <m/>
    <n v="59194"/>
    <n v="59003"/>
    <n v="25135"/>
    <n v="23920"/>
    <n v="63006"/>
    <n v="63523"/>
    <n v="147335"/>
    <m/>
    <n v="4911.166666666667"/>
    <n v="146446"/>
    <n v="794"/>
    <n v="4881.5333333333338"/>
    <m/>
    <m/>
    <m/>
    <m/>
    <m/>
    <m/>
    <m/>
    <m/>
    <n v="0"/>
    <m/>
    <n v="0"/>
    <n v="0"/>
    <m/>
    <n v="0"/>
    <m/>
    <m/>
    <m/>
    <m/>
    <m/>
    <m/>
    <m/>
    <m/>
    <n v="0"/>
    <n v="0"/>
    <n v="0"/>
    <n v="0"/>
    <n v="4911.166666666667"/>
    <n v="4881.5333333333338"/>
  </r>
  <r>
    <x v="4"/>
    <s v="Dalton State College "/>
    <n v="139463"/>
    <x v="12"/>
    <s v="sem"/>
    <s v="sem"/>
    <m/>
    <m/>
    <n v="38629"/>
    <n v="41952"/>
    <n v="11159"/>
    <n v="12194"/>
    <n v="45557"/>
    <n v="50966"/>
    <n v="95345"/>
    <m/>
    <n v="3178.1666666666665"/>
    <n v="105112"/>
    <n v="906"/>
    <n v="3503.7333333333331"/>
    <m/>
    <m/>
    <m/>
    <m/>
    <m/>
    <m/>
    <m/>
    <m/>
    <n v="0"/>
    <m/>
    <n v="0"/>
    <n v="0"/>
    <m/>
    <n v="0"/>
    <m/>
    <m/>
    <m/>
    <m/>
    <m/>
    <m/>
    <m/>
    <m/>
    <n v="0"/>
    <n v="0"/>
    <n v="0"/>
    <n v="0"/>
    <n v="3178.1666666666665"/>
    <n v="3503.7333333333331"/>
  </r>
  <r>
    <x v="4"/>
    <s v="Georgia Perimeter College "/>
    <n v="244437"/>
    <x v="6"/>
    <s v="sem"/>
    <s v="sem"/>
    <m/>
    <m/>
    <n v="200436"/>
    <n v="202370"/>
    <n v="79495"/>
    <n v="79386"/>
    <n v="204417"/>
    <n v="215707"/>
    <n v="484348"/>
    <m/>
    <n v="16144.933333333332"/>
    <n v="497463"/>
    <n v="9330"/>
    <n v="16582.099999999999"/>
    <m/>
    <m/>
    <m/>
    <m/>
    <m/>
    <m/>
    <m/>
    <m/>
    <n v="0"/>
    <m/>
    <n v="0"/>
    <n v="0"/>
    <m/>
    <n v="0"/>
    <m/>
    <m/>
    <m/>
    <m/>
    <m/>
    <m/>
    <m/>
    <m/>
    <n v="0"/>
    <n v="0"/>
    <n v="0"/>
    <n v="0"/>
    <n v="16144.933333333332"/>
    <n v="16582.099999999999"/>
  </r>
  <r>
    <x v="4"/>
    <s v="Abraham Baldwin Agricultural College "/>
    <n v="138558"/>
    <x v="7"/>
    <s v="sem"/>
    <s v="sem"/>
    <m/>
    <m/>
    <n v="35510"/>
    <n v="36552"/>
    <n v="8666"/>
    <n v="7671"/>
    <n v="42125"/>
    <n v="41998"/>
    <n v="86301"/>
    <m/>
    <n v="2876.7"/>
    <n v="86221"/>
    <n v="399"/>
    <n v="2874.0333333333333"/>
    <m/>
    <m/>
    <m/>
    <m/>
    <m/>
    <m/>
    <m/>
    <m/>
    <n v="0"/>
    <m/>
    <n v="0"/>
    <n v="0"/>
    <m/>
    <n v="0"/>
    <m/>
    <m/>
    <m/>
    <m/>
    <m/>
    <m/>
    <m/>
    <m/>
    <n v="0"/>
    <n v="0"/>
    <n v="0"/>
    <n v="0"/>
    <n v="2876.7"/>
    <n v="2874.0333333333333"/>
  </r>
  <r>
    <x v="4"/>
    <s v="Bainbridge College "/>
    <n v="139010"/>
    <x v="7"/>
    <s v="sem"/>
    <s v="sem"/>
    <m/>
    <m/>
    <n v="25798"/>
    <n v="25200"/>
    <n v="12813"/>
    <n v="12440"/>
    <n v="25950"/>
    <n v="29642"/>
    <n v="64561"/>
    <m/>
    <n v="2152.0333333333333"/>
    <n v="67282"/>
    <n v="3310"/>
    <n v="2242.7333333333331"/>
    <m/>
    <m/>
    <m/>
    <m/>
    <m/>
    <m/>
    <m/>
    <m/>
    <n v="0"/>
    <m/>
    <n v="0"/>
    <n v="0"/>
    <m/>
    <n v="0"/>
    <m/>
    <m/>
    <m/>
    <m/>
    <m/>
    <m/>
    <m/>
    <m/>
    <n v="0"/>
    <n v="0"/>
    <n v="0"/>
    <n v="0"/>
    <n v="2152.0333333333333"/>
    <n v="2242.7333333333331"/>
  </r>
  <r>
    <x v="4"/>
    <s v="College of Coastal Georgia "/>
    <n v="139250"/>
    <x v="7"/>
    <s v="sem"/>
    <s v="sem"/>
    <m/>
    <m/>
    <n v="26014"/>
    <n v="24689.5"/>
    <n v="8293"/>
    <n v="8288"/>
    <n v="26818"/>
    <n v="26820"/>
    <n v="61125"/>
    <m/>
    <n v="2037.5"/>
    <n v="59797.5"/>
    <n v="549"/>
    <n v="1993.25"/>
    <m/>
    <m/>
    <m/>
    <m/>
    <m/>
    <m/>
    <m/>
    <m/>
    <n v="0"/>
    <m/>
    <n v="0"/>
    <n v="0"/>
    <m/>
    <n v="0"/>
    <m/>
    <m/>
    <m/>
    <m/>
    <m/>
    <m/>
    <m/>
    <m/>
    <n v="0"/>
    <n v="0"/>
    <n v="0"/>
    <n v="0"/>
    <n v="2037.5"/>
    <n v="1993.25"/>
  </r>
  <r>
    <x v="4"/>
    <s v="Darton College "/>
    <n v="138691"/>
    <x v="7"/>
    <s v="sem"/>
    <s v="sem"/>
    <m/>
    <m/>
    <n v="40783.5"/>
    <n v="42553.5"/>
    <n v="21254.5"/>
    <n v="21883"/>
    <n v="45918.5"/>
    <n v="49620.5"/>
    <n v="107956.5"/>
    <m/>
    <n v="3598.55"/>
    <n v="114057"/>
    <n v="855"/>
    <n v="3801.9"/>
    <m/>
    <m/>
    <m/>
    <m/>
    <m/>
    <m/>
    <m/>
    <m/>
    <n v="0"/>
    <m/>
    <n v="0"/>
    <n v="0"/>
    <m/>
    <n v="0"/>
    <m/>
    <m/>
    <m/>
    <m/>
    <m/>
    <m/>
    <m/>
    <m/>
    <n v="0"/>
    <n v="0"/>
    <n v="0"/>
    <n v="0"/>
    <n v="3598.55"/>
    <n v="3801.9"/>
  </r>
  <r>
    <x v="4"/>
    <s v="Gainesville State College "/>
    <n v="139773"/>
    <x v="7"/>
    <s v="sem"/>
    <s v="sem"/>
    <m/>
    <m/>
    <n v="67478"/>
    <n v="76439"/>
    <n v="16143"/>
    <n v="19237"/>
    <n v="81992"/>
    <n v="91517"/>
    <n v="165613"/>
    <m/>
    <n v="5520.4333333333334"/>
    <n v="187193"/>
    <n v="1415"/>
    <n v="6239.7666666666664"/>
    <m/>
    <m/>
    <m/>
    <m/>
    <m/>
    <m/>
    <m/>
    <m/>
    <n v="0"/>
    <m/>
    <n v="0"/>
    <n v="0"/>
    <m/>
    <n v="0"/>
    <m/>
    <m/>
    <m/>
    <m/>
    <m/>
    <m/>
    <m/>
    <m/>
    <n v="0"/>
    <n v="0"/>
    <n v="0"/>
    <n v="0"/>
    <n v="5520.4333333333334"/>
    <n v="6239.7666666666664"/>
  </r>
  <r>
    <x v="4"/>
    <s v="Georgia Highlands College"/>
    <n v="139700"/>
    <x v="7"/>
    <s v="sem"/>
    <s v="sem"/>
    <m/>
    <m/>
    <n v="38435"/>
    <n v="43495"/>
    <n v="10729"/>
    <n v="11293"/>
    <n v="45015"/>
    <n v="48965"/>
    <n v="94179"/>
    <m/>
    <n v="3139.3"/>
    <n v="103753"/>
    <n v="849"/>
    <n v="3458.4333333333334"/>
    <m/>
    <m/>
    <m/>
    <m/>
    <m/>
    <m/>
    <m/>
    <m/>
    <n v="0"/>
    <m/>
    <n v="0"/>
    <n v="0"/>
    <m/>
    <n v="0"/>
    <m/>
    <m/>
    <m/>
    <m/>
    <m/>
    <m/>
    <m/>
    <m/>
    <n v="0"/>
    <n v="0"/>
    <n v="0"/>
    <n v="0"/>
    <n v="3139.3"/>
    <n v="3458.4333333333334"/>
  </r>
  <r>
    <x v="4"/>
    <s v="Gordon College "/>
    <n v="139968"/>
    <x v="7"/>
    <s v="sem"/>
    <s v="sem"/>
    <m/>
    <m/>
    <n v="38499"/>
    <n v="38237"/>
    <n v="6434"/>
    <n v="7129"/>
    <n v="41873"/>
    <n v="45210"/>
    <n v="86806"/>
    <m/>
    <n v="2893.5333333333333"/>
    <n v="90576"/>
    <n v="658"/>
    <n v="3019.2"/>
    <m/>
    <m/>
    <m/>
    <m/>
    <m/>
    <m/>
    <m/>
    <m/>
    <n v="0"/>
    <m/>
    <n v="0"/>
    <n v="0"/>
    <m/>
    <n v="0"/>
    <m/>
    <m/>
    <m/>
    <m/>
    <m/>
    <m/>
    <m/>
    <m/>
    <n v="0"/>
    <n v="0"/>
    <n v="0"/>
    <n v="0"/>
    <n v="2893.5333333333333"/>
    <n v="3019.2"/>
  </r>
  <r>
    <x v="4"/>
    <s v="Middle Georgia College "/>
    <n v="140483"/>
    <x v="7"/>
    <s v="sem"/>
    <s v="sem"/>
    <m/>
    <m/>
    <n v="33045"/>
    <n v="36036"/>
    <n v="9447"/>
    <n v="10482"/>
    <n v="39541"/>
    <n v="38649"/>
    <n v="82033"/>
    <m/>
    <n v="2734.4333333333334"/>
    <n v="85167"/>
    <n v="3542"/>
    <n v="2838.9"/>
    <m/>
    <m/>
    <m/>
    <m/>
    <m/>
    <m/>
    <m/>
    <m/>
    <n v="0"/>
    <m/>
    <n v="0"/>
    <n v="0"/>
    <m/>
    <n v="0"/>
    <m/>
    <m/>
    <m/>
    <m/>
    <m/>
    <m/>
    <m/>
    <m/>
    <n v="0"/>
    <n v="0"/>
    <n v="0"/>
    <n v="0"/>
    <n v="2734.4333333333334"/>
    <n v="2838.9"/>
  </r>
  <r>
    <x v="4"/>
    <s v="Atlanta Metropolitan College"/>
    <n v="138901"/>
    <x v="8"/>
    <s v="sem"/>
    <s v="sem"/>
    <m/>
    <m/>
    <n v="18211"/>
    <n v="20845"/>
    <n v="7592"/>
    <n v="9182"/>
    <n v="19873"/>
    <n v="23644"/>
    <n v="45676"/>
    <m/>
    <n v="1522.5333333333333"/>
    <n v="53671"/>
    <n v="225"/>
    <n v="1789.0333333333333"/>
    <m/>
    <m/>
    <m/>
    <m/>
    <m/>
    <m/>
    <m/>
    <m/>
    <n v="0"/>
    <m/>
    <n v="0"/>
    <n v="0"/>
    <m/>
    <n v="0"/>
    <m/>
    <m/>
    <m/>
    <m/>
    <m/>
    <m/>
    <m/>
    <m/>
    <n v="0"/>
    <n v="0"/>
    <n v="0"/>
    <n v="0"/>
    <n v="1522.5333333333333"/>
    <n v="1789.0333333333333"/>
  </r>
  <r>
    <x v="4"/>
    <s v="East Georgia College"/>
    <n v="139621"/>
    <x v="8"/>
    <s v="sem"/>
    <s v="sem"/>
    <m/>
    <m/>
    <n v="18668"/>
    <n v="22043"/>
    <n v="4856"/>
    <n v="5889"/>
    <n v="22178"/>
    <n v="29401"/>
    <n v="45702"/>
    <m/>
    <n v="1523.4"/>
    <n v="57333"/>
    <n v="311"/>
    <n v="1911.1"/>
    <m/>
    <m/>
    <m/>
    <m/>
    <m/>
    <m/>
    <m/>
    <m/>
    <n v="0"/>
    <m/>
    <n v="0"/>
    <n v="0"/>
    <m/>
    <n v="0"/>
    <m/>
    <m/>
    <m/>
    <m/>
    <m/>
    <m/>
    <m/>
    <m/>
    <n v="0"/>
    <n v="0"/>
    <n v="0"/>
    <n v="0"/>
    <n v="1523.4"/>
    <n v="1911.1"/>
  </r>
  <r>
    <x v="4"/>
    <s v="South Georgia College "/>
    <n v="140997"/>
    <x v="8"/>
    <s v="sem"/>
    <s v="sem"/>
    <m/>
    <m/>
    <n v="16451"/>
    <n v="19237"/>
    <n v="4754"/>
    <n v="5053"/>
    <n v="20616"/>
    <n v="22140"/>
    <n v="41821"/>
    <m/>
    <n v="1394.0333333333333"/>
    <n v="46430"/>
    <n v="363"/>
    <n v="1547.6666666666667"/>
    <m/>
    <m/>
    <m/>
    <m/>
    <m/>
    <m/>
    <m/>
    <m/>
    <n v="0"/>
    <m/>
    <n v="0"/>
    <n v="0"/>
    <m/>
    <n v="0"/>
    <m/>
    <m/>
    <m/>
    <m/>
    <m/>
    <m/>
    <m/>
    <m/>
    <n v="0"/>
    <n v="0"/>
    <n v="0"/>
    <n v="0"/>
    <n v="1394.0333333333333"/>
    <n v="1547.6666666666667"/>
  </r>
  <r>
    <x v="4"/>
    <s v="Waycross College "/>
    <n v="141307"/>
    <x v="8"/>
    <s v="sem"/>
    <s v="sem"/>
    <m/>
    <m/>
    <n v="8421"/>
    <n v="8119"/>
    <n v="2528"/>
    <n v="2632"/>
    <n v="8787"/>
    <n v="8948"/>
    <n v="19736"/>
    <m/>
    <n v="657.86666666666667"/>
    <n v="19699"/>
    <n v="544"/>
    <n v="656.63333333333333"/>
    <m/>
    <m/>
    <m/>
    <m/>
    <m/>
    <m/>
    <m/>
    <m/>
    <n v="0"/>
    <m/>
    <n v="0"/>
    <n v="0"/>
    <m/>
    <n v="0"/>
    <m/>
    <m/>
    <m/>
    <m/>
    <m/>
    <m/>
    <m/>
    <m/>
    <n v="0"/>
    <n v="0"/>
    <n v="0"/>
    <n v="0"/>
    <n v="657.86666666666667"/>
    <n v="656.63333333333333"/>
  </r>
  <r>
    <x v="4"/>
    <s v="Albany Technical College"/>
    <n v="138682"/>
    <x v="9"/>
    <s v="quar"/>
    <s v="quar"/>
    <n v="27671.5"/>
    <n v="30723"/>
    <n v="27562.5"/>
    <n v="30296"/>
    <n v="25864.5"/>
    <n v="25771"/>
    <n v="32156"/>
    <n v="35841"/>
    <n v="113254.5"/>
    <n v="506"/>
    <n v="2516.7666666666669"/>
    <n v="122631"/>
    <n v="772"/>
    <n v="2725.1333333333332"/>
    <m/>
    <m/>
    <m/>
    <m/>
    <m/>
    <m/>
    <m/>
    <m/>
    <n v="0"/>
    <m/>
    <n v="0"/>
    <n v="0"/>
    <m/>
    <n v="0"/>
    <m/>
    <m/>
    <m/>
    <m/>
    <m/>
    <m/>
    <m/>
    <m/>
    <n v="0"/>
    <n v="0"/>
    <n v="0"/>
    <n v="0"/>
    <n v="2516.7666666666669"/>
    <n v="2725.1333333333332"/>
  </r>
  <r>
    <x v="4"/>
    <s v="Athens Technical College"/>
    <n v="246813"/>
    <x v="9"/>
    <s v="quar"/>
    <s v="quar"/>
    <n v="35837"/>
    <n v="37721"/>
    <n v="31410"/>
    <n v="34707"/>
    <n v="19346"/>
    <n v="19584"/>
    <n v="40223"/>
    <n v="41236"/>
    <n v="126816"/>
    <n v="2262"/>
    <n v="2818.1333333333332"/>
    <n v="133248"/>
    <n v="2034"/>
    <n v="2961.0666666666666"/>
    <m/>
    <m/>
    <m/>
    <m/>
    <m/>
    <m/>
    <m/>
    <m/>
    <n v="0"/>
    <m/>
    <n v="0"/>
    <n v="0"/>
    <m/>
    <n v="0"/>
    <m/>
    <m/>
    <m/>
    <m/>
    <m/>
    <m/>
    <m/>
    <m/>
    <n v="0"/>
    <n v="0"/>
    <n v="0"/>
    <n v="0"/>
    <n v="2818.1333333333332"/>
    <n v="2961.0666666666666"/>
  </r>
  <r>
    <x v="4"/>
    <s v="Atlanta Technical College"/>
    <n v="138840"/>
    <x v="9"/>
    <s v="quar"/>
    <s v="quar"/>
    <n v="33876"/>
    <n v="36958"/>
    <n v="34672"/>
    <n v="35226"/>
    <n v="29489"/>
    <n v="28404"/>
    <n v="37159"/>
    <n v="36532"/>
    <n v="135196"/>
    <n v="2830"/>
    <n v="3004.3555555555554"/>
    <n v="137120"/>
    <n v="2104"/>
    <n v="3047.1111111111113"/>
    <m/>
    <m/>
    <m/>
    <m/>
    <m/>
    <m/>
    <m/>
    <m/>
    <n v="0"/>
    <m/>
    <n v="0"/>
    <n v="0"/>
    <m/>
    <n v="0"/>
    <m/>
    <m/>
    <m/>
    <m/>
    <m/>
    <m/>
    <m/>
    <m/>
    <n v="0"/>
    <n v="0"/>
    <n v="0"/>
    <n v="0"/>
    <n v="3004.3555555555554"/>
    <n v="3047.1111111111113"/>
  </r>
  <r>
    <x v="4"/>
    <s v="Augusta Technical College"/>
    <n v="138956"/>
    <x v="9"/>
    <s v="quar"/>
    <s v="quar"/>
    <n v="43847"/>
    <n v="46224"/>
    <n v="41982"/>
    <n v="43305"/>
    <n v="32683"/>
    <n v="33391"/>
    <n v="50643"/>
    <n v="51563"/>
    <n v="169155"/>
    <n v="1709"/>
    <n v="3759"/>
    <n v="174483"/>
    <n v="1651"/>
    <n v="3877.4"/>
    <m/>
    <m/>
    <m/>
    <m/>
    <m/>
    <m/>
    <m/>
    <m/>
    <n v="0"/>
    <m/>
    <n v="0"/>
    <n v="0"/>
    <m/>
    <n v="0"/>
    <m/>
    <m/>
    <m/>
    <m/>
    <m/>
    <m/>
    <m/>
    <m/>
    <n v="0"/>
    <n v="0"/>
    <n v="0"/>
    <n v="0"/>
    <n v="3759"/>
    <n v="3877.4"/>
  </r>
  <r>
    <x v="4"/>
    <s v="Central Georgia Technical College"/>
    <n v="140304"/>
    <x v="9"/>
    <s v="quar"/>
    <s v="quar"/>
    <n v="51715"/>
    <n v="51449"/>
    <n v="48196"/>
    <n v="47131"/>
    <n v="39999"/>
    <n v="40738"/>
    <n v="54007"/>
    <n v="58962"/>
    <n v="193917"/>
    <n v="3939"/>
    <n v="4309.2666666666664"/>
    <n v="198280"/>
    <n v="3520"/>
    <n v="4406.2222222222226"/>
    <m/>
    <m/>
    <m/>
    <m/>
    <m/>
    <m/>
    <m/>
    <m/>
    <n v="0"/>
    <m/>
    <n v="0"/>
    <n v="0"/>
    <m/>
    <n v="0"/>
    <m/>
    <m/>
    <m/>
    <m/>
    <m/>
    <m/>
    <m/>
    <m/>
    <n v="0"/>
    <n v="0"/>
    <n v="0"/>
    <n v="0"/>
    <n v="4309.2666666666664"/>
    <n v="4406.2222222222226"/>
  </r>
  <r>
    <x v="4"/>
    <s v="Chattahoochee Technical College"/>
    <n v="140331"/>
    <x v="9"/>
    <s v="quar"/>
    <s v="quar"/>
    <n v="52022"/>
    <n v="53549"/>
    <n v="53135"/>
    <n v="54444"/>
    <n v="30130"/>
    <n v="33264"/>
    <n v="63690"/>
    <n v="60826"/>
    <n v="198977"/>
    <n v="15417"/>
    <n v="4421.7111111111108"/>
    <n v="202083"/>
    <n v="9835"/>
    <n v="4490.7333333333336"/>
    <m/>
    <m/>
    <m/>
    <m/>
    <m/>
    <m/>
    <m/>
    <m/>
    <n v="0"/>
    <m/>
    <n v="0"/>
    <n v="0"/>
    <m/>
    <n v="0"/>
    <m/>
    <m/>
    <m/>
    <m/>
    <m/>
    <m/>
    <m/>
    <m/>
    <n v="0"/>
    <n v="0"/>
    <n v="0"/>
    <n v="0"/>
    <n v="4421.7111111111108"/>
    <n v="4490.7333333333336"/>
  </r>
  <r>
    <x v="4"/>
    <s v="Columbus Technical College"/>
    <n v="139357"/>
    <x v="9"/>
    <s v="quar"/>
    <s v="quar"/>
    <n v="31660"/>
    <n v="34241"/>
    <n v="30091"/>
    <n v="32544"/>
    <n v="28818"/>
    <n v="28247"/>
    <n v="35411"/>
    <n v="37258"/>
    <n v="125980"/>
    <n v="2623.4"/>
    <n v="2799.5555555555557"/>
    <n v="132290"/>
    <n v="3100"/>
    <n v="2939.7777777777778"/>
    <m/>
    <m/>
    <m/>
    <m/>
    <m/>
    <m/>
    <m/>
    <m/>
    <n v="0"/>
    <m/>
    <n v="0"/>
    <n v="0"/>
    <m/>
    <n v="0"/>
    <m/>
    <m/>
    <m/>
    <m/>
    <m/>
    <m/>
    <m/>
    <m/>
    <n v="0"/>
    <n v="0"/>
    <n v="0"/>
    <n v="0"/>
    <n v="2799.5555555555557"/>
    <n v="2939.7777777777778"/>
  </r>
  <r>
    <x v="4"/>
    <s v="Coosa Valley Technical College"/>
    <n v="139384"/>
    <x v="9"/>
    <s v="quar"/>
    <s v="quar"/>
    <n v="26246"/>
    <n v="26686"/>
    <n v="24448"/>
    <n v="24285"/>
    <n v="20347"/>
    <n v="20422"/>
    <n v="27743"/>
    <n v="30806"/>
    <n v="98784"/>
    <n v="1501"/>
    <n v="2195.1999999999998"/>
    <n v="102199"/>
    <n v="1443"/>
    <n v="2271.088888888889"/>
    <m/>
    <m/>
    <m/>
    <m/>
    <m/>
    <m/>
    <m/>
    <m/>
    <n v="0"/>
    <m/>
    <n v="0"/>
    <n v="0"/>
    <m/>
    <n v="0"/>
    <m/>
    <m/>
    <m/>
    <m/>
    <m/>
    <m/>
    <m/>
    <m/>
    <n v="0"/>
    <n v="0"/>
    <n v="0"/>
    <n v="0"/>
    <n v="2195.1999999999998"/>
    <n v="2271.088888888889"/>
  </r>
  <r>
    <x v="4"/>
    <s v="DeKalb Technical College"/>
    <n v="244446"/>
    <x v="9"/>
    <s v="quar"/>
    <s v="quar"/>
    <n v="35722"/>
    <n v="37223"/>
    <n v="35227.5"/>
    <n v="35850"/>
    <n v="29700.5"/>
    <n v="30239"/>
    <n v="38189.5"/>
    <n v="40825"/>
    <n v="138839.5"/>
    <n v="2603"/>
    <n v="3085.3222222222221"/>
    <n v="144137"/>
    <n v="3102.6"/>
    <n v="3203.0444444444443"/>
    <m/>
    <m/>
    <m/>
    <m/>
    <m/>
    <m/>
    <m/>
    <m/>
    <n v="0"/>
    <m/>
    <n v="0"/>
    <n v="0"/>
    <m/>
    <n v="0"/>
    <m/>
    <m/>
    <m/>
    <m/>
    <m/>
    <m/>
    <m/>
    <m/>
    <n v="0"/>
    <n v="0"/>
    <n v="0"/>
    <n v="0"/>
    <n v="3085.3222222222221"/>
    <n v="3203.0444444444443"/>
  </r>
  <r>
    <x v="4"/>
    <s v="East Central Technical College"/>
    <n v="139126"/>
    <x v="9"/>
    <s v="quar"/>
    <s v="quar"/>
    <n v="11534"/>
    <n v="12578"/>
    <n v="11191"/>
    <n v="11822"/>
    <n v="10272"/>
    <n v="10447"/>
    <n v="14360"/>
    <n v="15667"/>
    <n v="47357"/>
    <n v="3911"/>
    <n v="1052.3777777777777"/>
    <n v="50514"/>
    <n v="3560"/>
    <n v="1122.5333333333333"/>
    <m/>
    <m/>
    <m/>
    <m/>
    <m/>
    <m/>
    <m/>
    <m/>
    <n v="0"/>
    <m/>
    <n v="0"/>
    <n v="0"/>
    <m/>
    <n v="0"/>
    <m/>
    <m/>
    <m/>
    <m/>
    <m/>
    <m/>
    <m/>
    <m/>
    <n v="0"/>
    <n v="0"/>
    <n v="0"/>
    <n v="0"/>
    <n v="1052.3777777777777"/>
    <n v="1122.5333333333333"/>
  </r>
  <r>
    <x v="4"/>
    <s v="Griffin Technical College"/>
    <n v="139986"/>
    <x v="9"/>
    <s v="quar"/>
    <s v="quar"/>
    <n v="34764"/>
    <n v="40837"/>
    <n v="34108"/>
    <n v="38777"/>
    <n v="28825"/>
    <n v="32106"/>
    <n v="42671"/>
    <n v="44413"/>
    <n v="140368"/>
    <n v="4590"/>
    <n v="3119.2888888888888"/>
    <n v="156133"/>
    <n v="3498"/>
    <n v="3469.6222222222223"/>
    <m/>
    <m/>
    <m/>
    <m/>
    <m/>
    <m/>
    <m/>
    <m/>
    <n v="0"/>
    <m/>
    <n v="0"/>
    <n v="0"/>
    <m/>
    <n v="0"/>
    <m/>
    <m/>
    <m/>
    <m/>
    <m/>
    <m/>
    <m/>
    <m/>
    <n v="0"/>
    <n v="0"/>
    <n v="0"/>
    <n v="0"/>
    <n v="3119.2888888888888"/>
    <n v="3469.6222222222223"/>
  </r>
  <r>
    <x v="4"/>
    <s v="Gwinnett Technical College"/>
    <n v="140012"/>
    <x v="9"/>
    <s v="quar"/>
    <s v="quar"/>
    <n v="41697"/>
    <n v="50175"/>
    <n v="43447"/>
    <n v="49317"/>
    <n v="29484"/>
    <n v="35130"/>
    <n v="52657"/>
    <n v="59232"/>
    <n v="167285"/>
    <n v="233"/>
    <n v="3717.4444444444443"/>
    <n v="193854"/>
    <n v="325"/>
    <n v="4307.8666666666668"/>
    <m/>
    <m/>
    <m/>
    <m/>
    <m/>
    <m/>
    <m/>
    <m/>
    <n v="0"/>
    <m/>
    <n v="0"/>
    <n v="0"/>
    <m/>
    <n v="0"/>
    <m/>
    <m/>
    <m/>
    <m/>
    <m/>
    <m/>
    <m/>
    <m/>
    <n v="0"/>
    <n v="0"/>
    <n v="0"/>
    <n v="0"/>
    <n v="3717.4444444444443"/>
    <n v="4307.8666666666668"/>
  </r>
  <r>
    <x v="4"/>
    <s v="Heart of Georgia Technical College"/>
    <n v="140076"/>
    <x v="9"/>
    <s v="quar"/>
    <s v="quar"/>
    <n v="14525"/>
    <n v="12439"/>
    <n v="12669"/>
    <n v="11909"/>
    <n v="11292"/>
    <n v="10748"/>
    <n v="13784"/>
    <n v="14930"/>
    <n v="52270"/>
    <n v="6568"/>
    <n v="1161.5555555555557"/>
    <n v="50026"/>
    <n v="6170"/>
    <n v="1111.6888888888889"/>
    <m/>
    <m/>
    <m/>
    <m/>
    <m/>
    <m/>
    <m/>
    <m/>
    <n v="0"/>
    <m/>
    <n v="0"/>
    <n v="0"/>
    <m/>
    <n v="0"/>
    <m/>
    <m/>
    <m/>
    <m/>
    <m/>
    <m/>
    <m/>
    <m/>
    <n v="0"/>
    <n v="0"/>
    <n v="0"/>
    <n v="0"/>
    <n v="1161.5555555555557"/>
    <n v="1111.6888888888889"/>
  </r>
  <r>
    <x v="4"/>
    <s v="Lanier Technical College"/>
    <n v="140243"/>
    <x v="9"/>
    <s v="quar"/>
    <s v="quar"/>
    <n v="29326"/>
    <n v="31781"/>
    <n v="28725"/>
    <n v="28350"/>
    <n v="22778"/>
    <n v="22929"/>
    <n v="32464"/>
    <n v="30690.5"/>
    <n v="113293"/>
    <n v="3151"/>
    <n v="2517.6222222222223"/>
    <n v="113750.5"/>
    <n v="2786.5"/>
    <n v="2527.7888888888888"/>
    <m/>
    <m/>
    <m/>
    <m/>
    <m/>
    <m/>
    <m/>
    <m/>
    <n v="0"/>
    <m/>
    <n v="0"/>
    <n v="0"/>
    <m/>
    <n v="0"/>
    <m/>
    <m/>
    <m/>
    <m/>
    <m/>
    <m/>
    <m/>
    <m/>
    <n v="0"/>
    <n v="0"/>
    <n v="0"/>
    <n v="0"/>
    <n v="2517.6222222222223"/>
    <n v="2527.7888888888888"/>
  </r>
  <r>
    <x v="4"/>
    <s v="Middle Georgia Technical College"/>
    <n v="140085"/>
    <x v="9"/>
    <s v="quar"/>
    <s v="quar"/>
    <n v="28633"/>
    <n v="29826"/>
    <n v="26037"/>
    <n v="30405"/>
    <n v="23367"/>
    <n v="23566"/>
    <n v="32853"/>
    <n v="29831"/>
    <n v="110890"/>
    <n v="5039"/>
    <n v="2464.2222222222222"/>
    <n v="113628"/>
    <n v="6183"/>
    <n v="2525.0666666666666"/>
    <m/>
    <m/>
    <m/>
    <m/>
    <m/>
    <m/>
    <m/>
    <m/>
    <n v="0"/>
    <m/>
    <n v="0"/>
    <n v="0"/>
    <m/>
    <n v="0"/>
    <m/>
    <m/>
    <m/>
    <m/>
    <m/>
    <m/>
    <m/>
    <m/>
    <n v="0"/>
    <n v="0"/>
    <n v="0"/>
    <n v="0"/>
    <n v="2464.2222222222222"/>
    <n v="2525.0666666666666"/>
  </r>
  <r>
    <x v="4"/>
    <s v="Moultrie Technical College"/>
    <n v="140599"/>
    <x v="9"/>
    <s v="quar"/>
    <s v="quar"/>
    <n v="20408"/>
    <n v="20992"/>
    <n v="19334"/>
    <n v="19199"/>
    <n v="17729"/>
    <n v="17239"/>
    <n v="22524"/>
    <n v="24359"/>
    <n v="79995"/>
    <n v="7761"/>
    <n v="1777.6666666666667"/>
    <n v="81789"/>
    <n v="9166"/>
    <n v="1817.5333333333333"/>
    <m/>
    <m/>
    <m/>
    <m/>
    <m/>
    <m/>
    <m/>
    <m/>
    <n v="0"/>
    <m/>
    <n v="0"/>
    <n v="0"/>
    <m/>
    <n v="0"/>
    <m/>
    <m/>
    <m/>
    <m/>
    <m/>
    <m/>
    <m/>
    <m/>
    <n v="0"/>
    <n v="0"/>
    <n v="0"/>
    <n v="0"/>
    <n v="1777.6666666666667"/>
    <n v="1817.5333333333333"/>
  </r>
  <r>
    <x v="4"/>
    <s v="North Georgia Technical College"/>
    <n v="140678"/>
    <x v="9"/>
    <s v="quar"/>
    <s v="quar"/>
    <n v="23197"/>
    <n v="22413"/>
    <n v="20817"/>
    <n v="21175"/>
    <n v="18013"/>
    <n v="18541"/>
    <n v="23346"/>
    <n v="25318"/>
    <n v="85373"/>
    <n v="909"/>
    <n v="1897.1777777777777"/>
    <n v="87447"/>
    <n v="972.1"/>
    <n v="1943.2666666666667"/>
    <m/>
    <m/>
    <m/>
    <m/>
    <m/>
    <m/>
    <m/>
    <m/>
    <n v="0"/>
    <m/>
    <n v="0"/>
    <n v="0"/>
    <m/>
    <n v="0"/>
    <m/>
    <m/>
    <m/>
    <m/>
    <m/>
    <m/>
    <m/>
    <m/>
    <n v="0"/>
    <n v="0"/>
    <n v="0"/>
    <n v="0"/>
    <n v="1897.1777777777777"/>
    <n v="1943.2666666666667"/>
  </r>
  <r>
    <x v="4"/>
    <s v="North Metro Technical College"/>
    <n v="366456"/>
    <x v="9"/>
    <s v="quar"/>
    <s v="quar"/>
    <n v="18911"/>
    <n v="22703"/>
    <n v="18327"/>
    <n v="20861"/>
    <n v="13614"/>
    <n v="15368"/>
    <n v="22746"/>
    <n v="26940"/>
    <n v="73598"/>
    <n v="1205"/>
    <n v="1635.5111111111112"/>
    <n v="85872"/>
    <n v="1605"/>
    <n v="1908.2666666666667"/>
    <m/>
    <m/>
    <m/>
    <m/>
    <m/>
    <m/>
    <m/>
    <m/>
    <n v="0"/>
    <m/>
    <n v="0"/>
    <n v="0"/>
    <m/>
    <n v="0"/>
    <m/>
    <m/>
    <m/>
    <m/>
    <m/>
    <m/>
    <m/>
    <m/>
    <n v="0"/>
    <n v="0"/>
    <n v="0"/>
    <n v="0"/>
    <n v="1635.5111111111112"/>
    <n v="1908.2666666666667"/>
  </r>
  <r>
    <x v="4"/>
    <s v="Northwestern Technical College"/>
    <n v="141273"/>
    <x v="9"/>
    <s v="quar"/>
    <s v="quar"/>
    <n v="21999"/>
    <n v="22417"/>
    <n v="20996"/>
    <n v="22135"/>
    <n v="14709"/>
    <n v="16407"/>
    <n v="24271"/>
    <n v="25584"/>
    <n v="81975"/>
    <n v="2970"/>
    <n v="1821.6666666666667"/>
    <n v="86543"/>
    <n v="3075"/>
    <n v="1923.1777777777777"/>
    <m/>
    <m/>
    <m/>
    <m/>
    <m/>
    <m/>
    <m/>
    <m/>
    <n v="0"/>
    <m/>
    <n v="0"/>
    <n v="0"/>
    <m/>
    <n v="0"/>
    <m/>
    <m/>
    <m/>
    <m/>
    <m/>
    <m/>
    <m/>
    <m/>
    <n v="0"/>
    <n v="0"/>
    <n v="0"/>
    <n v="0"/>
    <n v="1821.6666666666667"/>
    <n v="1923.1777777777777"/>
  </r>
  <r>
    <x v="4"/>
    <s v="Ogeechee Technical College"/>
    <n v="366465"/>
    <x v="9"/>
    <s v="quar"/>
    <s v="quar"/>
    <n v="21437"/>
    <n v="19476"/>
    <n v="17958"/>
    <n v="17850"/>
    <n v="13363"/>
    <n v="13572"/>
    <n v="21105"/>
    <n v="20739"/>
    <n v="73863"/>
    <n v="779"/>
    <n v="1641.4"/>
    <n v="71637"/>
    <n v="1280"/>
    <n v="1591.9333333333334"/>
    <m/>
    <m/>
    <m/>
    <m/>
    <m/>
    <m/>
    <m/>
    <m/>
    <n v="0"/>
    <m/>
    <n v="0"/>
    <n v="0"/>
    <m/>
    <n v="0"/>
    <m/>
    <m/>
    <m/>
    <m/>
    <m/>
    <m/>
    <m/>
    <m/>
    <n v="0"/>
    <n v="0"/>
    <n v="0"/>
    <n v="0"/>
    <n v="1641.4"/>
    <n v="1591.9333333333334"/>
  </r>
  <r>
    <x v="4"/>
    <s v="Okefenokee Technical College"/>
    <n v="248776"/>
    <x v="9"/>
    <s v="quar"/>
    <s v="quar"/>
    <n v="13694"/>
    <n v="13366"/>
    <n v="11968"/>
    <n v="12115"/>
    <n v="11935"/>
    <n v="10978"/>
    <n v="14352"/>
    <n v="14066"/>
    <n v="51949"/>
    <n v="3502.5"/>
    <n v="1154.4222222222222"/>
    <n v="50525"/>
    <n v="3476"/>
    <n v="1122.7777777777778"/>
    <m/>
    <m/>
    <m/>
    <m/>
    <m/>
    <m/>
    <m/>
    <m/>
    <n v="0"/>
    <m/>
    <n v="0"/>
    <n v="0"/>
    <m/>
    <n v="0"/>
    <m/>
    <m/>
    <m/>
    <m/>
    <m/>
    <m/>
    <m/>
    <m/>
    <n v="0"/>
    <n v="0"/>
    <n v="0"/>
    <n v="0"/>
    <n v="1154.4222222222222"/>
    <n v="1122.7777777777778"/>
  </r>
  <r>
    <x v="4"/>
    <s v="Savannah Technical College"/>
    <n v="140942"/>
    <x v="9"/>
    <s v="quar"/>
    <s v="quar"/>
    <n v="41044"/>
    <n v="43516"/>
    <n v="37899"/>
    <n v="41137"/>
    <n v="29906"/>
    <n v="35251"/>
    <n v="44870"/>
    <n v="49076"/>
    <n v="153719"/>
    <n v="3306.1"/>
    <n v="3415.9777777777776"/>
    <n v="168980"/>
    <n v="4410"/>
    <n v="3755.1111111111113"/>
    <m/>
    <m/>
    <m/>
    <m/>
    <m/>
    <m/>
    <m/>
    <m/>
    <n v="0"/>
    <m/>
    <n v="0"/>
    <n v="0"/>
    <m/>
    <n v="0"/>
    <m/>
    <m/>
    <m/>
    <m/>
    <m/>
    <m/>
    <m/>
    <m/>
    <n v="0"/>
    <n v="0"/>
    <n v="0"/>
    <n v="0"/>
    <n v="3415.9777777777776"/>
    <n v="3755.1111111111113"/>
  </r>
  <r>
    <x v="4"/>
    <s v="South Georgia Technical College"/>
    <n v="141006"/>
    <x v="9"/>
    <s v="quar"/>
    <s v="quar"/>
    <n v="20272"/>
    <n v="19548"/>
    <n v="18258"/>
    <n v="19291"/>
    <n v="16654"/>
    <n v="17501"/>
    <n v="20630"/>
    <n v="22969"/>
    <n v="75814"/>
    <n v="3367"/>
    <n v="1684.7555555555555"/>
    <n v="79309"/>
    <n v="3627"/>
    <n v="1762.4222222222222"/>
    <m/>
    <m/>
    <m/>
    <m/>
    <m/>
    <m/>
    <m/>
    <m/>
    <n v="0"/>
    <m/>
    <n v="0"/>
    <n v="0"/>
    <m/>
    <n v="0"/>
    <m/>
    <m/>
    <m/>
    <m/>
    <m/>
    <m/>
    <m/>
    <m/>
    <n v="0"/>
    <n v="0"/>
    <n v="0"/>
    <n v="0"/>
    <n v="1684.7555555555555"/>
    <n v="1762.4222222222222"/>
  </r>
  <r>
    <x v="4"/>
    <s v="Southwest Georgia Technical College"/>
    <n v="141158"/>
    <x v="9"/>
    <s v="quar"/>
    <s v="quar"/>
    <n v="12664"/>
    <n v="12121.5"/>
    <n v="10688.7"/>
    <n v="10669"/>
    <n v="10256.200000000001"/>
    <n v="10679"/>
    <n v="13231.4"/>
    <n v="14205.1"/>
    <n v="46840.3"/>
    <n v="3619.9"/>
    <n v="1040.8955555555556"/>
    <n v="47674.6"/>
    <n v="4596.6000000000004"/>
    <n v="1059.4355555555555"/>
    <m/>
    <m/>
    <m/>
    <m/>
    <m/>
    <m/>
    <m/>
    <m/>
    <n v="0"/>
    <m/>
    <n v="0"/>
    <n v="0"/>
    <m/>
    <n v="0"/>
    <m/>
    <m/>
    <m/>
    <m/>
    <m/>
    <m/>
    <m/>
    <m/>
    <n v="0"/>
    <n v="0"/>
    <n v="0"/>
    <n v="0"/>
    <n v="1040.8955555555556"/>
    <n v="1059.4355555555555"/>
  </r>
  <r>
    <x v="4"/>
    <s v="Valdosta Technical College"/>
    <n v="141255"/>
    <x v="9"/>
    <s v="quar"/>
    <s v="quar"/>
    <n v="23554"/>
    <n v="24887"/>
    <n v="20716"/>
    <n v="22317"/>
    <n v="19766"/>
    <n v="19855"/>
    <n v="24127"/>
    <n v="24989"/>
    <n v="88163"/>
    <n v="5771"/>
    <n v="1959.1777777777777"/>
    <n v="92048"/>
    <n v="5452"/>
    <n v="2045.5111111111112"/>
    <m/>
    <m/>
    <m/>
    <m/>
    <m/>
    <m/>
    <m/>
    <m/>
    <n v="0"/>
    <m/>
    <n v="0"/>
    <n v="0"/>
    <m/>
    <n v="0"/>
    <m/>
    <m/>
    <m/>
    <m/>
    <m/>
    <m/>
    <m/>
    <m/>
    <n v="0"/>
    <n v="0"/>
    <n v="0"/>
    <n v="0"/>
    <n v="1959.1777777777777"/>
    <n v="2045.5111111111112"/>
  </r>
  <r>
    <x v="4"/>
    <s v="West Central Technical College"/>
    <n v="139278"/>
    <x v="9"/>
    <s v="quar"/>
    <s v="quar"/>
    <n v="27581"/>
    <n v="32513"/>
    <n v="25720"/>
    <n v="30952"/>
    <n v="20763"/>
    <n v="23525"/>
    <n v="33042"/>
    <n v="38345"/>
    <n v="107106"/>
    <n v="4983"/>
    <n v="2380.1333333333332"/>
    <n v="125335"/>
    <n v="6293"/>
    <n v="2785.2222222222222"/>
    <m/>
    <m/>
    <m/>
    <m/>
    <m/>
    <m/>
    <m/>
    <m/>
    <n v="0"/>
    <m/>
    <n v="0"/>
    <n v="0"/>
    <m/>
    <n v="0"/>
    <m/>
    <m/>
    <m/>
    <m/>
    <m/>
    <m/>
    <m/>
    <m/>
    <n v="0"/>
    <n v="0"/>
    <n v="0"/>
    <n v="0"/>
    <n v="2380.1333333333332"/>
    <n v="2785.2222222222222"/>
  </r>
  <r>
    <x v="4"/>
    <s v="West Georgia Technical College"/>
    <n v="141228"/>
    <x v="9"/>
    <s v="quar"/>
    <s v="quar"/>
    <n v="17047"/>
    <n v="16706"/>
    <n v="15556.5"/>
    <n v="15215"/>
    <n v="13225"/>
    <n v="12979"/>
    <n v="17925"/>
    <n v="18053"/>
    <n v="63753.5"/>
    <n v="2782"/>
    <n v="1416.7444444444445"/>
    <n v="62953"/>
    <n v="2382"/>
    <n v="1398.9555555555555"/>
    <m/>
    <m/>
    <m/>
    <m/>
    <m/>
    <m/>
    <m/>
    <m/>
    <n v="0"/>
    <m/>
    <n v="0"/>
    <n v="0"/>
    <m/>
    <n v="0"/>
    <m/>
    <m/>
    <m/>
    <m/>
    <m/>
    <m/>
    <m/>
    <m/>
    <n v="0"/>
    <n v="0"/>
    <n v="0"/>
    <n v="0"/>
    <n v="1416.7444444444445"/>
    <n v="1398.9555555555555"/>
  </r>
  <r>
    <x v="4"/>
    <s v="Altamaha Technical College"/>
    <n v="366447"/>
    <x v="10"/>
    <s v="quar"/>
    <s v="quar"/>
    <n v="10381"/>
    <n v="8528"/>
    <n v="9626"/>
    <n v="8177"/>
    <n v="7801"/>
    <n v="7112"/>
    <n v="8850"/>
    <n v="8984"/>
    <n v="36658"/>
    <n v="2265.3000000000002"/>
    <n v="814.62222222222226"/>
    <n v="32801"/>
    <n v="2109"/>
    <n v="728.91111111111115"/>
    <m/>
    <m/>
    <m/>
    <m/>
    <m/>
    <m/>
    <m/>
    <m/>
    <n v="0"/>
    <m/>
    <n v="0"/>
    <n v="0"/>
    <m/>
    <n v="0"/>
    <m/>
    <m/>
    <m/>
    <m/>
    <m/>
    <m/>
    <m/>
    <m/>
    <n v="0"/>
    <n v="0"/>
    <n v="0"/>
    <n v="0"/>
    <n v="814.62222222222226"/>
    <n v="728.91111111111115"/>
  </r>
  <r>
    <x v="4"/>
    <s v="Appalachian Technical College"/>
    <n v="140809"/>
    <x v="10"/>
    <s v="quar"/>
    <s v="quar"/>
    <n v="10143"/>
    <n v="8296"/>
    <n v="7940"/>
    <n v="8974"/>
    <n v="6190"/>
    <n v="7772"/>
    <n v="9351"/>
    <n v="11198"/>
    <n v="33624"/>
    <n v="612.29999999999995"/>
    <n v="747.2"/>
    <n v="36240"/>
    <n v="424.8"/>
    <n v="805.33333333333337"/>
    <m/>
    <m/>
    <m/>
    <m/>
    <m/>
    <m/>
    <m/>
    <m/>
    <n v="0"/>
    <m/>
    <n v="0"/>
    <n v="0"/>
    <m/>
    <n v="0"/>
    <m/>
    <m/>
    <m/>
    <m/>
    <m/>
    <m/>
    <m/>
    <m/>
    <n v="0"/>
    <n v="0"/>
    <n v="0"/>
    <n v="0"/>
    <n v="747.2"/>
    <n v="805.33333333333337"/>
  </r>
  <r>
    <x v="4"/>
    <s v="Flint River Technical College"/>
    <n v="248794"/>
    <x v="10"/>
    <s v="quar"/>
    <s v="quar"/>
    <n v="9383.7999999999993"/>
    <n v="9185"/>
    <n v="8883.6"/>
    <n v="9073"/>
    <n v="8458.5"/>
    <n v="8428"/>
    <n v="10114"/>
    <n v="10473"/>
    <n v="36839.9"/>
    <n v="1532"/>
    <n v="818.66444444444448"/>
    <n v="37159"/>
    <n v="1156"/>
    <n v="825.75555555555559"/>
    <m/>
    <m/>
    <m/>
    <m/>
    <m/>
    <m/>
    <m/>
    <m/>
    <n v="0"/>
    <m/>
    <n v="0"/>
    <n v="0"/>
    <m/>
    <n v="0"/>
    <m/>
    <m/>
    <m/>
    <m/>
    <m/>
    <m/>
    <m/>
    <m/>
    <n v="0"/>
    <n v="0"/>
    <n v="0"/>
    <n v="0"/>
    <n v="818.66444444444448"/>
    <n v="825.75555555555559"/>
  </r>
  <r>
    <x v="4"/>
    <s v="Sandersville Technical College"/>
    <n v="420431"/>
    <x v="10"/>
    <s v="quar"/>
    <s v="quar"/>
    <n v="6912"/>
    <n v="6349"/>
    <n v="6920"/>
    <n v="5833"/>
    <n v="6168"/>
    <n v="5712"/>
    <n v="6867"/>
    <n v="7671"/>
    <n v="26867"/>
    <n v="3635"/>
    <n v="597.04444444444448"/>
    <n v="25565"/>
    <n v="3714"/>
    <n v="568.11111111111109"/>
    <m/>
    <m/>
    <m/>
    <m/>
    <m/>
    <m/>
    <m/>
    <m/>
    <n v="0"/>
    <m/>
    <n v="0"/>
    <n v="0"/>
    <m/>
    <n v="0"/>
    <m/>
    <m/>
    <m/>
    <m/>
    <m/>
    <m/>
    <m/>
    <m/>
    <n v="0"/>
    <n v="0"/>
    <n v="0"/>
    <n v="0"/>
    <n v="597.04444444444448"/>
    <n v="568.11111111111109"/>
  </r>
  <r>
    <x v="4"/>
    <s v="Southeastern Technical College"/>
    <n v="368911"/>
    <x v="10"/>
    <s v="quar"/>
    <s v="quar"/>
    <n v="9165"/>
    <n v="9628"/>
    <n v="8558"/>
    <n v="9906"/>
    <n v="7195"/>
    <n v="7805"/>
    <n v="9554"/>
    <n v="10910"/>
    <n v="34472"/>
    <n v="753"/>
    <n v="766.04444444444448"/>
    <n v="38249"/>
    <n v="1215"/>
    <n v="849.97777777777776"/>
    <m/>
    <m/>
    <m/>
    <m/>
    <m/>
    <m/>
    <m/>
    <m/>
    <n v="0"/>
    <m/>
    <n v="0"/>
    <n v="0"/>
    <m/>
    <n v="0"/>
    <m/>
    <m/>
    <m/>
    <m/>
    <m/>
    <m/>
    <m/>
    <m/>
    <n v="0"/>
    <n v="0"/>
    <n v="0"/>
    <n v="0"/>
    <n v="766.04444444444448"/>
    <n v="849.97777777777776"/>
  </r>
  <r>
    <x v="4"/>
    <s v="Swainsboro Technical College"/>
    <n v="141121"/>
    <x v="10"/>
    <s v="quar"/>
    <s v="quar"/>
    <n v="6394"/>
    <n v="6180"/>
    <n v="5655"/>
    <n v="5895"/>
    <n v="5276"/>
    <n v="5646"/>
    <n v="7140"/>
    <n v="6763"/>
    <n v="24465"/>
    <n v="2065"/>
    <n v="543.66666666666663"/>
    <n v="24484"/>
    <n v="2668"/>
    <n v="544.08888888888885"/>
    <m/>
    <m/>
    <m/>
    <m/>
    <m/>
    <m/>
    <m/>
    <m/>
    <n v="0"/>
    <m/>
    <n v="0"/>
    <n v="0"/>
    <m/>
    <n v="0"/>
    <m/>
    <m/>
    <m/>
    <m/>
    <m/>
    <m/>
    <m/>
    <m/>
    <n v="0"/>
    <n v="0"/>
    <n v="0"/>
    <n v="0"/>
    <n v="543.66666666666663"/>
    <n v="544.08888888888885"/>
  </r>
  <r>
    <x v="4"/>
    <s v="Georgia Gwinnett College"/>
    <n v="447689"/>
    <x v="11"/>
    <s v="sem"/>
    <s v="sem"/>
    <m/>
    <m/>
    <n v="1093"/>
    <n v="10164"/>
    <n v="395"/>
    <n v="2665"/>
    <n v="9204"/>
    <n v="18150"/>
    <n v="10692"/>
    <m/>
    <n v="356.4"/>
    <n v="30979"/>
    <m/>
    <n v="1032.6333333333334"/>
    <m/>
    <m/>
    <m/>
    <m/>
    <m/>
    <m/>
    <m/>
    <m/>
    <n v="0"/>
    <m/>
    <n v="0"/>
    <n v="0"/>
    <m/>
    <n v="0"/>
    <m/>
    <m/>
    <m/>
    <m/>
    <m/>
    <m/>
    <m/>
    <m/>
    <n v="0"/>
    <n v="0"/>
    <n v="0"/>
    <n v="0"/>
    <n v="356.4"/>
    <n v="1032.6333333333334"/>
  </r>
  <r>
    <x v="5"/>
    <s v="University of Kentucky"/>
    <n v="157085"/>
    <x v="0"/>
    <s v="sem"/>
    <s v="sem"/>
    <m/>
    <m/>
    <n v="239638"/>
    <n v="232649"/>
    <n v="23828"/>
    <n v="23528"/>
    <n v="253163"/>
    <n v="258465"/>
    <n v="516629"/>
    <n v="12"/>
    <n v="17220.966666666667"/>
    <n v="514642"/>
    <n v="71"/>
    <n v="17154.733333333334"/>
    <m/>
    <m/>
    <m/>
    <m/>
    <m/>
    <m/>
    <m/>
    <m/>
    <n v="0"/>
    <m/>
    <n v="0"/>
    <n v="0"/>
    <m/>
    <n v="0"/>
    <m/>
    <m/>
    <n v="36641"/>
    <n v="36015"/>
    <n v="5913"/>
    <n v="5964"/>
    <n v="39426"/>
    <n v="39054"/>
    <n v="81980"/>
    <n v="3415.8333333333335"/>
    <n v="81033"/>
    <n v="3376.375"/>
    <n v="20636.8"/>
    <n v="20531.108333333334"/>
  </r>
  <r>
    <x v="5"/>
    <s v="University of Louisville"/>
    <n v="157289"/>
    <x v="0"/>
    <s v="sem"/>
    <s v="sem"/>
    <m/>
    <m/>
    <n v="162643"/>
    <n v="169329"/>
    <n v="35780"/>
    <n v="36471"/>
    <n v="179710"/>
    <n v="182122"/>
    <n v="378133"/>
    <n v="1195"/>
    <n v="12604.433333333332"/>
    <n v="387922"/>
    <n v="1019"/>
    <n v="12930.733333333334"/>
    <m/>
    <m/>
    <m/>
    <m/>
    <m/>
    <m/>
    <m/>
    <m/>
    <n v="0"/>
    <m/>
    <n v="0"/>
    <n v="0"/>
    <m/>
    <n v="0"/>
    <m/>
    <m/>
    <n v="32774"/>
    <n v="34045"/>
    <n v="13155"/>
    <n v="12355"/>
    <n v="34503"/>
    <n v="33313"/>
    <n v="80432"/>
    <n v="3351.3333333333335"/>
    <n v="79713"/>
    <n v="3321.375"/>
    <n v="15955.766666666666"/>
    <n v="16252.108333333334"/>
  </r>
  <r>
    <x v="5"/>
    <s v="Eastern Kentucky University "/>
    <n v="156620"/>
    <x v="2"/>
    <s v="sem"/>
    <s v="sem"/>
    <m/>
    <m/>
    <n v="160222"/>
    <n v="162654"/>
    <n v="21767"/>
    <n v="22404"/>
    <n v="176169"/>
    <n v="178521"/>
    <n v="358158"/>
    <n v="2396"/>
    <n v="11938.6"/>
    <n v="363579"/>
    <n v="3251"/>
    <n v="12119.3"/>
    <m/>
    <m/>
    <m/>
    <m/>
    <m/>
    <m/>
    <m/>
    <m/>
    <n v="0"/>
    <m/>
    <n v="0"/>
    <n v="0"/>
    <m/>
    <n v="0"/>
    <m/>
    <m/>
    <n v="13635"/>
    <n v="13926"/>
    <n v="8927"/>
    <n v="8649"/>
    <n v="14082"/>
    <n v="14221"/>
    <n v="36644"/>
    <n v="1526.8333333333333"/>
    <n v="36796"/>
    <n v="1533.1666666666667"/>
    <n v="13465.433333333334"/>
    <n v="13652.466666666665"/>
  </r>
  <r>
    <x v="5"/>
    <s v="Murray State University "/>
    <n v="157401"/>
    <x v="2"/>
    <s v="sem"/>
    <s v="sem"/>
    <m/>
    <m/>
    <n v="104543"/>
    <n v="103294"/>
    <n v="13310"/>
    <n v="12382"/>
    <n v="112669"/>
    <n v="110391"/>
    <n v="230522"/>
    <n v="1217"/>
    <n v="7684.0666666666666"/>
    <n v="226067"/>
    <n v="1048"/>
    <n v="7535.5666666666666"/>
    <m/>
    <m/>
    <m/>
    <m/>
    <m/>
    <m/>
    <m/>
    <m/>
    <n v="0"/>
    <m/>
    <n v="0"/>
    <n v="0"/>
    <m/>
    <n v="0"/>
    <m/>
    <m/>
    <n v="10849"/>
    <n v="11468"/>
    <n v="6053"/>
    <n v="6077"/>
    <n v="11651"/>
    <n v="11765"/>
    <n v="28553"/>
    <n v="1189.7083333333333"/>
    <n v="29310"/>
    <n v="1221.25"/>
    <n v="8873.7749999999996"/>
    <n v="8756.8166666666657"/>
  </r>
  <r>
    <x v="5"/>
    <s v="Western Kentucky University "/>
    <n v="157951"/>
    <x v="2"/>
    <s v="sem"/>
    <s v="sem"/>
    <m/>
    <m/>
    <n v="198603"/>
    <n v="198343"/>
    <n v="22728"/>
    <n v="22630"/>
    <n v="210810"/>
    <n v="215647"/>
    <n v="432141"/>
    <n v="6683"/>
    <n v="14404.7"/>
    <n v="436620"/>
    <n v="10328"/>
    <n v="14554"/>
    <m/>
    <m/>
    <m/>
    <m/>
    <m/>
    <m/>
    <m/>
    <m/>
    <n v="0"/>
    <m/>
    <n v="0"/>
    <n v="0"/>
    <m/>
    <n v="0"/>
    <m/>
    <m/>
    <n v="16961"/>
    <n v="19330"/>
    <n v="9807"/>
    <n v="9179"/>
    <n v="19288"/>
    <n v="20270"/>
    <n v="46056"/>
    <n v="1919"/>
    <n v="48779"/>
    <n v="2032.4583333333333"/>
    <n v="16323.7"/>
    <n v="16586.458333333332"/>
  </r>
  <r>
    <x v="5"/>
    <s v="Morehead State University "/>
    <n v="157386"/>
    <x v="3"/>
    <s v="sem"/>
    <s v="sem"/>
    <m/>
    <m/>
    <n v="86981"/>
    <n v="85653"/>
    <n v="9932"/>
    <n v="10560"/>
    <n v="94392"/>
    <n v="91603"/>
    <n v="191305"/>
    <n v="2161"/>
    <n v="6376.833333333333"/>
    <n v="187816"/>
    <n v="2604"/>
    <n v="6260.5333333333338"/>
    <m/>
    <m/>
    <m/>
    <m/>
    <m/>
    <m/>
    <m/>
    <m/>
    <n v="0"/>
    <m/>
    <n v="0"/>
    <n v="0"/>
    <m/>
    <n v="0"/>
    <m/>
    <m/>
    <n v="8749"/>
    <n v="8697"/>
    <n v="5862"/>
    <n v="5431"/>
    <n v="8276"/>
    <n v="8520"/>
    <n v="22887"/>
    <n v="953.625"/>
    <n v="22648"/>
    <n v="943.66666666666663"/>
    <n v="7330.458333333333"/>
    <n v="7204.2000000000007"/>
  </r>
  <r>
    <x v="5"/>
    <s v="Northern Kentucky University "/>
    <n v="157447"/>
    <x v="3"/>
    <s v="sem"/>
    <s v="sem"/>
    <m/>
    <m/>
    <n v="139853"/>
    <n v="145575"/>
    <n v="20336"/>
    <n v="20141"/>
    <n v="153966"/>
    <n v="157920"/>
    <n v="314155"/>
    <n v="2517"/>
    <n v="10471.833333333334"/>
    <n v="323636"/>
    <n v="3176"/>
    <n v="10787.866666666667"/>
    <m/>
    <m/>
    <m/>
    <m/>
    <m/>
    <m/>
    <m/>
    <m/>
    <n v="0"/>
    <m/>
    <n v="0"/>
    <n v="0"/>
    <m/>
    <n v="0"/>
    <m/>
    <m/>
    <n v="14061"/>
    <n v="15110"/>
    <n v="7411"/>
    <n v="6903"/>
    <n v="15396"/>
    <n v="15504"/>
    <n v="36868"/>
    <n v="1536.1666666666667"/>
    <n v="37517"/>
    <n v="1563.2083333333333"/>
    <n v="12008"/>
    <n v="12351.075000000001"/>
  </r>
  <r>
    <x v="5"/>
    <s v="Kentucky State University "/>
    <n v="157058"/>
    <x v="4"/>
    <s v="sem"/>
    <s v="sem"/>
    <m/>
    <m/>
    <n v="26031"/>
    <n v="27681"/>
    <n v="3805"/>
    <n v="4092"/>
    <n v="31299"/>
    <n v="30555"/>
    <n v="61135"/>
    <n v="105"/>
    <n v="2037.8333333333333"/>
    <n v="62328"/>
    <n v="100"/>
    <n v="2077.6"/>
    <m/>
    <m/>
    <m/>
    <m/>
    <m/>
    <m/>
    <m/>
    <m/>
    <n v="0"/>
    <m/>
    <n v="0"/>
    <n v="0"/>
    <m/>
    <n v="0"/>
    <m/>
    <m/>
    <n v="1235"/>
    <n v="1289"/>
    <n v="510"/>
    <n v="315"/>
    <n v="1464"/>
    <n v="1062"/>
    <n v="3209"/>
    <n v="133.70833333333334"/>
    <n v="2666"/>
    <n v="111.08333333333333"/>
    <n v="2171.5416666666665"/>
    <n v="2188.6833333333334"/>
  </r>
  <r>
    <x v="5"/>
    <s v="Bluegrass Community and Technical College"/>
    <n v="157173"/>
    <x v="6"/>
    <s v="sem"/>
    <s v="sem"/>
    <m/>
    <m/>
    <n v="95487"/>
    <n v="98581"/>
    <n v="15779"/>
    <n v="19290"/>
    <n v="104542"/>
    <n v="115233"/>
    <n v="215808"/>
    <n v="4729"/>
    <n v="7193.6"/>
    <n v="233104"/>
    <n v="5110"/>
    <n v="7770.1333333333332"/>
    <m/>
    <m/>
    <m/>
    <m/>
    <m/>
    <m/>
    <m/>
    <m/>
    <n v="0"/>
    <m/>
    <n v="0"/>
    <n v="0"/>
    <m/>
    <n v="0"/>
    <m/>
    <m/>
    <m/>
    <m/>
    <m/>
    <m/>
    <m/>
    <m/>
    <n v="0"/>
    <n v="0"/>
    <n v="0"/>
    <n v="0"/>
    <n v="7193.6"/>
    <n v="7770.1333333333332"/>
  </r>
  <r>
    <x v="5"/>
    <s v="Jefferson Community and Technical College "/>
    <n v="156921"/>
    <x v="6"/>
    <s v="sem"/>
    <s v="sem"/>
    <m/>
    <m/>
    <n v="103157"/>
    <n v="106679"/>
    <n v="17985"/>
    <n v="17461"/>
    <n v="119509"/>
    <n v="117609"/>
    <n v="240651"/>
    <n v="16648"/>
    <n v="8021.7"/>
    <n v="241749"/>
    <n v="12888"/>
    <n v="8058.3"/>
    <m/>
    <m/>
    <m/>
    <m/>
    <m/>
    <m/>
    <m/>
    <m/>
    <n v="0"/>
    <m/>
    <n v="0"/>
    <n v="0"/>
    <m/>
    <n v="0"/>
    <m/>
    <m/>
    <m/>
    <m/>
    <m/>
    <m/>
    <m/>
    <m/>
    <n v="0"/>
    <n v="0"/>
    <n v="0"/>
    <n v="0"/>
    <n v="8021.7"/>
    <n v="8058.3"/>
  </r>
  <r>
    <x v="5"/>
    <s v="Ashland Community and Technical College"/>
    <n v="156231"/>
    <x v="7"/>
    <s v="sem"/>
    <s v="sem"/>
    <m/>
    <m/>
    <n v="27827"/>
    <n v="26981"/>
    <n v="4054"/>
    <n v="4008"/>
    <n v="32831"/>
    <n v="36098"/>
    <n v="64712"/>
    <n v="5304"/>
    <n v="2157.0666666666666"/>
    <n v="67087"/>
    <n v="7641"/>
    <n v="2236.2333333333331"/>
    <m/>
    <m/>
    <m/>
    <m/>
    <m/>
    <m/>
    <m/>
    <m/>
    <n v="0"/>
    <m/>
    <n v="0"/>
    <n v="0"/>
    <m/>
    <n v="0"/>
    <m/>
    <m/>
    <m/>
    <m/>
    <m/>
    <m/>
    <m/>
    <m/>
    <n v="0"/>
    <n v="0"/>
    <n v="0"/>
    <n v="0"/>
    <n v="2157.0666666666666"/>
    <n v="2236.2333333333331"/>
  </r>
  <r>
    <x v="5"/>
    <s v="Big Sandy Community and Technical College "/>
    <n v="157553"/>
    <x v="7"/>
    <s v="sem"/>
    <s v="sem"/>
    <m/>
    <m/>
    <n v="31313"/>
    <n v="33501"/>
    <n v="5456"/>
    <n v="5409"/>
    <n v="39062"/>
    <n v="35901"/>
    <n v="75831"/>
    <n v="5710"/>
    <n v="2527.6999999999998"/>
    <n v="74811"/>
    <n v="2277"/>
    <n v="2493.6999999999998"/>
    <m/>
    <m/>
    <m/>
    <m/>
    <m/>
    <m/>
    <m/>
    <m/>
    <n v="0"/>
    <m/>
    <n v="0"/>
    <n v="0"/>
    <m/>
    <n v="0"/>
    <m/>
    <m/>
    <m/>
    <m/>
    <m/>
    <m/>
    <m/>
    <m/>
    <n v="0"/>
    <n v="0"/>
    <n v="0"/>
    <n v="0"/>
    <n v="2527.6999999999998"/>
    <n v="2493.6999999999998"/>
  </r>
  <r>
    <x v="5"/>
    <s v="Elizabethtown Community and Technical College "/>
    <n v="156648"/>
    <x v="7"/>
    <s v="sem"/>
    <s v="sem"/>
    <m/>
    <m/>
    <n v="38713"/>
    <n v="40917"/>
    <n v="6061"/>
    <n v="6680"/>
    <n v="43458"/>
    <n v="46417"/>
    <n v="88232"/>
    <n v="1278"/>
    <n v="2941.0666666666666"/>
    <n v="94014"/>
    <n v="1449"/>
    <n v="3133.8"/>
    <m/>
    <m/>
    <m/>
    <m/>
    <m/>
    <m/>
    <m/>
    <m/>
    <n v="0"/>
    <m/>
    <n v="0"/>
    <n v="0"/>
    <m/>
    <n v="0"/>
    <m/>
    <m/>
    <m/>
    <m/>
    <m/>
    <m/>
    <m/>
    <m/>
    <n v="0"/>
    <n v="0"/>
    <n v="0"/>
    <n v="0"/>
    <n v="2941.0666666666666"/>
    <n v="3133.8"/>
  </r>
  <r>
    <x v="5"/>
    <s v="Madisonville Community College"/>
    <n v="157304"/>
    <x v="7"/>
    <s v="sem"/>
    <s v="sem"/>
    <m/>
    <m/>
    <n v="26414"/>
    <n v="29463"/>
    <n v="3095"/>
    <n v="3902"/>
    <n v="31307"/>
    <n v="30484"/>
    <n v="60816"/>
    <n v="4772"/>
    <n v="2027.2"/>
    <n v="63849"/>
    <n v="5489"/>
    <n v="2128.3000000000002"/>
    <m/>
    <m/>
    <m/>
    <m/>
    <m/>
    <m/>
    <m/>
    <m/>
    <n v="0"/>
    <m/>
    <n v="0"/>
    <n v="0"/>
    <m/>
    <n v="0"/>
    <m/>
    <m/>
    <m/>
    <m/>
    <m/>
    <m/>
    <m/>
    <m/>
    <n v="0"/>
    <n v="0"/>
    <n v="0"/>
    <n v="0"/>
    <n v="2027.2"/>
    <n v="2128.3000000000002"/>
  </r>
  <r>
    <x v="5"/>
    <s v="Maysville Community and Technical College "/>
    <n v="157331"/>
    <x v="7"/>
    <s v="sem"/>
    <s v="sem"/>
    <m/>
    <m/>
    <n v="30314"/>
    <n v="32975"/>
    <n v="7208"/>
    <n v="6941"/>
    <n v="31711"/>
    <n v="34502"/>
    <n v="69233"/>
    <n v="7505"/>
    <n v="2307.7666666666669"/>
    <n v="74418"/>
    <n v="7188"/>
    <n v="2480.6"/>
    <m/>
    <m/>
    <m/>
    <m/>
    <m/>
    <m/>
    <m/>
    <m/>
    <n v="0"/>
    <m/>
    <n v="0"/>
    <n v="0"/>
    <m/>
    <n v="0"/>
    <m/>
    <m/>
    <m/>
    <m/>
    <m/>
    <m/>
    <m/>
    <m/>
    <n v="0"/>
    <n v="0"/>
    <n v="0"/>
    <n v="0"/>
    <n v="2307.7666666666669"/>
    <n v="2480.6"/>
  </r>
  <r>
    <x v="5"/>
    <s v="Owensboro Community and Technical College "/>
    <n v="247940"/>
    <x v="7"/>
    <s v="sem"/>
    <s v="sem"/>
    <m/>
    <m/>
    <n v="31312"/>
    <n v="34567"/>
    <n v="3856"/>
    <n v="3898"/>
    <n v="39011"/>
    <n v="41187"/>
    <n v="74179"/>
    <n v="12582"/>
    <n v="2472.6333333333332"/>
    <n v="79652"/>
    <n v="15207"/>
    <n v="2655.0666666666666"/>
    <m/>
    <m/>
    <m/>
    <m/>
    <m/>
    <m/>
    <m/>
    <m/>
    <n v="0"/>
    <m/>
    <n v="0"/>
    <n v="0"/>
    <m/>
    <n v="0"/>
    <m/>
    <m/>
    <m/>
    <m/>
    <m/>
    <m/>
    <m/>
    <m/>
    <n v="0"/>
    <n v="0"/>
    <n v="0"/>
    <n v="0"/>
    <n v="2472.6333333333332"/>
    <n v="2655.0666666666666"/>
  </r>
  <r>
    <x v="5"/>
    <s v="Somerset Community and Technical College "/>
    <n v="157711"/>
    <x v="7"/>
    <s v="sem"/>
    <s v="sem"/>
    <m/>
    <m/>
    <n v="49692"/>
    <n v="51932"/>
    <n v="7471"/>
    <n v="6205"/>
    <n v="56675"/>
    <n v="51934"/>
    <n v="113838"/>
    <n v="7024"/>
    <n v="3794.6"/>
    <n v="110071"/>
    <n v="6638"/>
    <n v="3669.0333333333333"/>
    <m/>
    <m/>
    <m/>
    <m/>
    <m/>
    <m/>
    <m/>
    <m/>
    <n v="0"/>
    <m/>
    <n v="0"/>
    <n v="0"/>
    <m/>
    <n v="0"/>
    <m/>
    <m/>
    <m/>
    <m/>
    <m/>
    <m/>
    <m/>
    <m/>
    <n v="0"/>
    <n v="0"/>
    <n v="0"/>
    <n v="0"/>
    <n v="3794.6"/>
    <n v="3669.0333333333333"/>
  </r>
  <r>
    <x v="5"/>
    <s v="Southeast Kentucky Community and Technical College"/>
    <n v="157739"/>
    <x v="7"/>
    <s v="sem"/>
    <s v="sem"/>
    <m/>
    <m/>
    <n v="27422"/>
    <n v="28171"/>
    <n v="3285"/>
    <n v="3205"/>
    <n v="30930"/>
    <n v="30423"/>
    <n v="61637"/>
    <n v="7299"/>
    <n v="2054.5666666666666"/>
    <n v="61799"/>
    <n v="6135"/>
    <n v="2059.9666666666667"/>
    <m/>
    <m/>
    <m/>
    <m/>
    <m/>
    <m/>
    <m/>
    <m/>
    <n v="0"/>
    <m/>
    <n v="0"/>
    <n v="0"/>
    <m/>
    <n v="0"/>
    <m/>
    <m/>
    <m/>
    <m/>
    <m/>
    <m/>
    <m/>
    <m/>
    <n v="0"/>
    <n v="0"/>
    <n v="0"/>
    <n v="0"/>
    <n v="2054.5666666666666"/>
    <n v="2059.9666666666667"/>
  </r>
  <r>
    <x v="5"/>
    <s v="West Kentucky Community and Technical College"/>
    <n v="157483"/>
    <x v="7"/>
    <s v="sem"/>
    <s v="sem"/>
    <m/>
    <m/>
    <n v="39783"/>
    <n v="40638"/>
    <n v="6615"/>
    <n v="7557"/>
    <n v="46438"/>
    <n v="47785"/>
    <n v="92836"/>
    <n v="6872"/>
    <n v="3094.5333333333333"/>
    <n v="95980"/>
    <n v="7360"/>
    <n v="3199.3333333333335"/>
    <m/>
    <m/>
    <m/>
    <m/>
    <m/>
    <m/>
    <m/>
    <m/>
    <n v="0"/>
    <m/>
    <n v="0"/>
    <n v="0"/>
    <m/>
    <n v="0"/>
    <m/>
    <m/>
    <m/>
    <m/>
    <m/>
    <m/>
    <m/>
    <m/>
    <n v="0"/>
    <n v="0"/>
    <n v="0"/>
    <n v="0"/>
    <n v="3094.5333333333333"/>
    <n v="3199.3333333333335"/>
  </r>
  <r>
    <x v="5"/>
    <s v="Hazard Community and Technical College"/>
    <n v="156790"/>
    <x v="8"/>
    <s v="sem"/>
    <s v="sem"/>
    <m/>
    <m/>
    <n v="25347"/>
    <n v="24961"/>
    <n v="2435"/>
    <n v="3177"/>
    <n v="30320"/>
    <n v="27640"/>
    <n v="58102"/>
    <n v="3942"/>
    <n v="1936.7333333333333"/>
    <n v="55778"/>
    <n v="4154"/>
    <n v="1859.2666666666667"/>
    <m/>
    <m/>
    <m/>
    <m/>
    <m/>
    <m/>
    <m/>
    <m/>
    <n v="0"/>
    <m/>
    <n v="0"/>
    <n v="0"/>
    <m/>
    <n v="0"/>
    <m/>
    <m/>
    <m/>
    <m/>
    <m/>
    <m/>
    <m/>
    <m/>
    <n v="0"/>
    <n v="0"/>
    <n v="0"/>
    <n v="0"/>
    <n v="1936.7333333333333"/>
    <n v="1859.2666666666667"/>
  </r>
  <r>
    <x v="5"/>
    <s v="Henderson Community College "/>
    <n v="156851"/>
    <x v="8"/>
    <s v="sem"/>
    <s v="sem"/>
    <m/>
    <m/>
    <n v="13955"/>
    <n v="16602"/>
    <n v="2961"/>
    <n v="3018"/>
    <n v="17054"/>
    <n v="17223"/>
    <n v="33970"/>
    <n v="1671"/>
    <n v="1132.3333333333333"/>
    <n v="36843"/>
    <n v="1529"/>
    <n v="1228.0999999999999"/>
    <m/>
    <m/>
    <m/>
    <m/>
    <m/>
    <m/>
    <m/>
    <m/>
    <n v="0"/>
    <m/>
    <n v="0"/>
    <n v="0"/>
    <m/>
    <n v="0"/>
    <m/>
    <m/>
    <m/>
    <m/>
    <m/>
    <m/>
    <m/>
    <m/>
    <n v="0"/>
    <n v="0"/>
    <n v="0"/>
    <n v="0"/>
    <n v="1132.3333333333333"/>
    <n v="1228.0999999999999"/>
  </r>
  <r>
    <x v="5"/>
    <s v="Hopkinsville Community College "/>
    <n v="156860"/>
    <x v="8"/>
    <s v="sem"/>
    <s v="sem"/>
    <m/>
    <m/>
    <n v="22002"/>
    <n v="24304"/>
    <n v="2480"/>
    <n v="3165"/>
    <n v="28352"/>
    <n v="28710"/>
    <n v="52834"/>
    <n v="1662"/>
    <n v="1761.1333333333334"/>
    <n v="56179"/>
    <n v="1229"/>
    <n v="1872.6333333333334"/>
    <m/>
    <m/>
    <m/>
    <m/>
    <m/>
    <m/>
    <m/>
    <m/>
    <n v="0"/>
    <m/>
    <n v="0"/>
    <n v="0"/>
    <m/>
    <n v="0"/>
    <m/>
    <m/>
    <m/>
    <m/>
    <m/>
    <m/>
    <m/>
    <m/>
    <n v="0"/>
    <n v="0"/>
    <n v="0"/>
    <n v="0"/>
    <n v="1761.1333333333334"/>
    <n v="1872.6333333333334"/>
  </r>
  <r>
    <x v="5"/>
    <s v="Bowling Green Technical College"/>
    <n v="156338"/>
    <x v="9"/>
    <s v="sem"/>
    <s v="sem"/>
    <m/>
    <m/>
    <n v="15572"/>
    <n v="16687"/>
    <n v="2198"/>
    <n v="2289"/>
    <n v="21364"/>
    <n v="20073"/>
    <n v="39134"/>
    <n v="7083"/>
    <n v="1304.4666666666667"/>
    <n v="39049"/>
    <n v="5245"/>
    <n v="1301.6333333333334"/>
    <m/>
    <m/>
    <m/>
    <m/>
    <m/>
    <m/>
    <m/>
    <m/>
    <n v="0"/>
    <m/>
    <n v="0"/>
    <n v="0"/>
    <m/>
    <n v="0"/>
    <m/>
    <m/>
    <m/>
    <m/>
    <m/>
    <m/>
    <m/>
    <m/>
    <n v="0"/>
    <n v="0"/>
    <n v="0"/>
    <n v="0"/>
    <n v="1304.4666666666667"/>
    <n v="1301.6333333333334"/>
  </r>
  <r>
    <x v="5"/>
    <s v="Gateway Community and Technical College"/>
    <n v="157438"/>
    <x v="9"/>
    <s v="sem"/>
    <s v="sem"/>
    <m/>
    <m/>
    <n v="19450"/>
    <n v="21339"/>
    <n v="2642"/>
    <n v="2888"/>
    <n v="22784"/>
    <n v="24590"/>
    <n v="44876"/>
    <n v="3117"/>
    <n v="1495.8666666666666"/>
    <n v="48817"/>
    <n v="2934"/>
    <n v="1627.2333333333333"/>
    <m/>
    <m/>
    <m/>
    <m/>
    <m/>
    <m/>
    <m/>
    <m/>
    <n v="0"/>
    <m/>
    <n v="0"/>
    <n v="0"/>
    <m/>
    <n v="0"/>
    <m/>
    <m/>
    <m/>
    <m/>
    <m/>
    <m/>
    <m/>
    <m/>
    <n v="0"/>
    <n v="0"/>
    <n v="0"/>
    <n v="0"/>
    <n v="1495.8666666666666"/>
    <n v="1627.2333333333333"/>
  </r>
  <r>
    <x v="6"/>
    <s v="Louisiana State University and A &amp; M College"/>
    <n v="159391"/>
    <x v="0"/>
    <s v="sem"/>
    <s v="sem"/>
    <n v="0"/>
    <m/>
    <n v="328757"/>
    <n v="314833"/>
    <n v="49450"/>
    <n v="45045"/>
    <n v="355844"/>
    <n v="357128"/>
    <n v="734051"/>
    <n v="294"/>
    <n v="24468.366666666665"/>
    <n v="717006"/>
    <n v="183"/>
    <n v="23900.2"/>
    <m/>
    <m/>
    <m/>
    <m/>
    <m/>
    <m/>
    <m/>
    <m/>
    <n v="0"/>
    <m/>
    <n v="0"/>
    <n v="0"/>
    <m/>
    <n v="0"/>
    <n v="0"/>
    <m/>
    <n v="44761"/>
    <n v="44611"/>
    <n v="12873"/>
    <n v="13121"/>
    <n v="47293.5"/>
    <n v="48855.5"/>
    <n v="104927.5"/>
    <n v="4371.979166666667"/>
    <n v="106587.5"/>
    <n v="4441.145833333333"/>
    <n v="28840.345833333333"/>
    <n v="28341.345833333333"/>
  </r>
  <r>
    <x v="6"/>
    <s v="Louisiana Tech University "/>
    <n v="159647"/>
    <x v="1"/>
    <s v="quar"/>
    <s v="quar"/>
    <n v="75674"/>
    <n v="70228"/>
    <n v="71371"/>
    <n v="66602"/>
    <n v="20148"/>
    <n v="18064"/>
    <n v="77559"/>
    <n v="76759"/>
    <n v="244752"/>
    <n v="1681"/>
    <n v="5438.9333333333334"/>
    <n v="231653"/>
    <n v="4613"/>
    <n v="5147.8444444444449"/>
    <m/>
    <m/>
    <m/>
    <m/>
    <m/>
    <m/>
    <m/>
    <m/>
    <n v="0"/>
    <m/>
    <n v="0"/>
    <n v="0"/>
    <m/>
    <n v="0"/>
    <n v="7082"/>
    <n v="6955"/>
    <n v="6824"/>
    <n v="6765"/>
    <n v="4292"/>
    <n v="4143"/>
    <n v="10348"/>
    <n v="10865"/>
    <n v="28546"/>
    <n v="792.94444444444446"/>
    <n v="28728"/>
    <n v="798"/>
    <n v="6231.8777777777777"/>
    <n v="5945.8444444444449"/>
  </r>
  <r>
    <x v="6"/>
    <s v="University of Louisiana at Lafayette"/>
    <n v="160658"/>
    <x v="1"/>
    <s v="sem"/>
    <s v="sem"/>
    <n v="0"/>
    <m/>
    <n v="181152"/>
    <n v="179733"/>
    <n v="24967"/>
    <n v="24241"/>
    <n v="197316"/>
    <n v="195625"/>
    <n v="403435"/>
    <n v="711"/>
    <n v="13447.833333333334"/>
    <n v="399599"/>
    <n v="663"/>
    <n v="13319.966666666667"/>
    <m/>
    <m/>
    <m/>
    <m/>
    <m/>
    <m/>
    <m/>
    <m/>
    <n v="0"/>
    <m/>
    <n v="0"/>
    <n v="0"/>
    <m/>
    <n v="0"/>
    <n v="0"/>
    <m/>
    <n v="11618"/>
    <n v="12770"/>
    <n v="2892"/>
    <n v="2620"/>
    <n v="12875"/>
    <n v="12145"/>
    <n v="27385"/>
    <n v="1141.0416666666667"/>
    <n v="27535"/>
    <n v="1147.2916666666667"/>
    <n v="14588.875"/>
    <n v="14467.258333333333"/>
  </r>
  <r>
    <x v="6"/>
    <s v="University of New Orleans"/>
    <n v="159939"/>
    <x v="1"/>
    <s v="sem"/>
    <s v="sem"/>
    <n v="0"/>
    <m/>
    <n v="102534"/>
    <n v="99531"/>
    <n v="20363"/>
    <n v="19874"/>
    <n v="106456"/>
    <n v="107344"/>
    <n v="229353"/>
    <n v="301"/>
    <n v="7645.1"/>
    <n v="226749"/>
    <n v="277"/>
    <n v="7558.3"/>
    <m/>
    <m/>
    <m/>
    <m/>
    <m/>
    <m/>
    <m/>
    <m/>
    <n v="0"/>
    <m/>
    <n v="0"/>
    <n v="0"/>
    <m/>
    <n v="0"/>
    <n v="0"/>
    <m/>
    <n v="16237"/>
    <n v="17209"/>
    <n v="7696"/>
    <n v="7586"/>
    <n v="18489"/>
    <n v="19864"/>
    <n v="42422"/>
    <n v="1767.5833333333333"/>
    <n v="44659"/>
    <n v="1860.7916666666667"/>
    <n v="9412.6833333333343"/>
    <n v="9419.0916666666672"/>
  </r>
  <r>
    <x v="6"/>
    <s v="Southeastern Louisiana University "/>
    <n v="160612"/>
    <x v="2"/>
    <s v="sem"/>
    <s v="sem"/>
    <n v="0"/>
    <m/>
    <n v="163100"/>
    <n v="159604"/>
    <n v="22763"/>
    <n v="21388"/>
    <n v="178801"/>
    <n v="180124"/>
    <n v="364664"/>
    <n v="3029"/>
    <n v="12155.466666666667"/>
    <n v="361116"/>
    <n v="4828"/>
    <n v="12037.2"/>
    <m/>
    <m/>
    <m/>
    <m/>
    <m/>
    <m/>
    <m/>
    <m/>
    <n v="0"/>
    <m/>
    <n v="0"/>
    <n v="0"/>
    <m/>
    <n v="0"/>
    <n v="0"/>
    <m/>
    <n v="9438"/>
    <n v="8982"/>
    <n v="4808"/>
    <n v="4117"/>
    <n v="9233"/>
    <n v="8709"/>
    <n v="23479"/>
    <n v="978.29166666666663"/>
    <n v="21808"/>
    <n v="908.66666666666663"/>
    <n v="13133.758333333333"/>
    <n v="12945.866666666667"/>
  </r>
  <r>
    <x v="6"/>
    <s v="Southern University and A&amp;M College at Baton Rouge "/>
    <n v="160621"/>
    <x v="2"/>
    <s v="sem"/>
    <s v="sem"/>
    <n v="0"/>
    <m/>
    <n v="104272"/>
    <n v="98889"/>
    <n v="22237"/>
    <n v="17868"/>
    <n v="105781"/>
    <n v="99920"/>
    <n v="232290"/>
    <n v="308"/>
    <n v="7743"/>
    <n v="216677"/>
    <n v="66"/>
    <n v="7222.5666666666666"/>
    <m/>
    <m/>
    <m/>
    <m/>
    <m/>
    <m/>
    <m/>
    <m/>
    <n v="0"/>
    <m/>
    <n v="0"/>
    <n v="0"/>
    <m/>
    <n v="0"/>
    <n v="0"/>
    <m/>
    <n v="8318"/>
    <n v="7871"/>
    <n v="2041"/>
    <n v="1828"/>
    <n v="8389"/>
    <n v="8660"/>
    <n v="18748"/>
    <n v="781.16666666666663"/>
    <n v="18359"/>
    <n v="764.95833333333337"/>
    <n v="8524.1666666666661"/>
    <n v="7987.5249999999996"/>
  </r>
  <r>
    <x v="6"/>
    <s v="University of Louisiana at Monroe"/>
    <n v="159993"/>
    <x v="2"/>
    <s v="sem"/>
    <s v="sem"/>
    <n v="0"/>
    <m/>
    <n v="89626"/>
    <n v="83928"/>
    <n v="16564"/>
    <n v="16214"/>
    <n v="97662"/>
    <n v="95098"/>
    <n v="203852"/>
    <n v="3333"/>
    <n v="6795.0666666666666"/>
    <n v="195240"/>
    <n v="6427"/>
    <n v="6508"/>
    <m/>
    <m/>
    <m/>
    <m/>
    <m/>
    <m/>
    <m/>
    <m/>
    <n v="0"/>
    <m/>
    <n v="0"/>
    <n v="0"/>
    <m/>
    <n v="0"/>
    <n v="0"/>
    <m/>
    <n v="9262"/>
    <n v="11509"/>
    <n v="4912"/>
    <n v="6100"/>
    <n v="8678"/>
    <n v="11931"/>
    <n v="22852"/>
    <n v="952.16666666666663"/>
    <n v="29540"/>
    <n v="1230.8333333333333"/>
    <n v="7747.2333333333336"/>
    <n v="7738.833333333333"/>
  </r>
  <r>
    <x v="6"/>
    <s v="Grambling State University"/>
    <n v="159009"/>
    <x v="3"/>
    <s v="sem"/>
    <s v="sem"/>
    <n v="0"/>
    <m/>
    <n v="62080"/>
    <n v="64243"/>
    <n v="11457"/>
    <n v="10196"/>
    <n v="66263"/>
    <n v="68185"/>
    <n v="139800"/>
    <n v="58"/>
    <n v="4660"/>
    <n v="142624"/>
    <n v="125"/>
    <n v="4754.1333333333332"/>
    <m/>
    <m/>
    <m/>
    <m/>
    <m/>
    <m/>
    <m/>
    <m/>
    <n v="0"/>
    <m/>
    <n v="0"/>
    <n v="0"/>
    <m/>
    <n v="0"/>
    <n v="0"/>
    <m/>
    <n v="4077"/>
    <n v="3339"/>
    <n v="1293"/>
    <n v="1496"/>
    <n v="3308"/>
    <n v="3726"/>
    <n v="8678"/>
    <n v="361.58333333333331"/>
    <n v="8561"/>
    <n v="356.70833333333331"/>
    <n v="5021.583333333333"/>
    <n v="5110.8416666666662"/>
  </r>
  <r>
    <x v="6"/>
    <s v="Louisiana State University in Shreveport"/>
    <n v="159416"/>
    <x v="3"/>
    <s v="sem"/>
    <s v="sem"/>
    <n v="0"/>
    <m/>
    <n v="37297"/>
    <n v="37785"/>
    <n v="8502"/>
    <n v="8384"/>
    <n v="40039"/>
    <n v="41914"/>
    <n v="85838"/>
    <n v="408"/>
    <n v="2861.2666666666669"/>
    <n v="88083"/>
    <n v="4520"/>
    <n v="2936.1"/>
    <m/>
    <m/>
    <m/>
    <m/>
    <m/>
    <m/>
    <m/>
    <m/>
    <n v="0"/>
    <m/>
    <n v="0"/>
    <n v="0"/>
    <m/>
    <n v="0"/>
    <n v="0"/>
    <m/>
    <n v="2567"/>
    <n v="2251"/>
    <n v="1207"/>
    <n v="1281"/>
    <n v="2339"/>
    <n v="2385"/>
    <n v="6113"/>
    <n v="254.70833333333334"/>
    <n v="5917"/>
    <n v="246.54166666666666"/>
    <n v="3115.9750000000004"/>
    <n v="3182.6416666666664"/>
  </r>
  <r>
    <x v="6"/>
    <s v="McNeese State University"/>
    <n v="159717"/>
    <x v="3"/>
    <s v="sem"/>
    <s v="sem"/>
    <n v="0"/>
    <m/>
    <n v="93944"/>
    <n v="92412"/>
    <n v="11064"/>
    <n v="11373"/>
    <n v="97815"/>
    <n v="100054"/>
    <n v="202823"/>
    <n v="1593"/>
    <n v="6760.7666666666664"/>
    <n v="203839"/>
    <n v="2852"/>
    <n v="6794.6333333333332"/>
    <m/>
    <m/>
    <m/>
    <m/>
    <m/>
    <m/>
    <m/>
    <m/>
    <n v="0"/>
    <m/>
    <n v="0"/>
    <n v="0"/>
    <m/>
    <n v="0"/>
    <n v="0"/>
    <m/>
    <n v="6955"/>
    <n v="6176"/>
    <n v="2051"/>
    <n v="2399"/>
    <n v="6690"/>
    <n v="6112"/>
    <n v="15696"/>
    <n v="654"/>
    <n v="14687"/>
    <n v="611.95833333333337"/>
    <n v="7414.7666666666664"/>
    <n v="7406.5916666666662"/>
  </r>
  <r>
    <x v="6"/>
    <s v="Nicholls State University "/>
    <n v="159966"/>
    <x v="3"/>
    <s v="sem"/>
    <s v="sem"/>
    <n v="0"/>
    <m/>
    <n v="75436"/>
    <n v="76760"/>
    <n v="11782"/>
    <n v="12286"/>
    <n v="82685"/>
    <n v="84910"/>
    <n v="169903"/>
    <n v="952"/>
    <n v="5663.4333333333334"/>
    <n v="173956"/>
    <n v="1928"/>
    <n v="5798.5333333333338"/>
    <m/>
    <m/>
    <m/>
    <m/>
    <m/>
    <m/>
    <m/>
    <m/>
    <n v="0"/>
    <m/>
    <n v="0"/>
    <n v="0"/>
    <m/>
    <n v="0"/>
    <n v="0"/>
    <m/>
    <n v="3768"/>
    <n v="3101"/>
    <n v="3752"/>
    <n v="3230"/>
    <n v="3743"/>
    <n v="3302"/>
    <n v="11263"/>
    <n v="469.29166666666669"/>
    <n v="9633"/>
    <n v="401.375"/>
    <n v="6132.7250000000004"/>
    <n v="6199.9083333333338"/>
  </r>
  <r>
    <x v="6"/>
    <s v="Northwestern State University"/>
    <n v="160038"/>
    <x v="3"/>
    <s v="sem"/>
    <s v="sem"/>
    <n v="0"/>
    <m/>
    <n v="98010"/>
    <n v="95584"/>
    <n v="21357"/>
    <n v="21194"/>
    <n v="102623"/>
    <n v="101155"/>
    <n v="221990"/>
    <n v="2129"/>
    <n v="7399.666666666667"/>
    <n v="217933"/>
    <n v="4802"/>
    <n v="7264.4333333333334"/>
    <m/>
    <m/>
    <m/>
    <m/>
    <m/>
    <m/>
    <m/>
    <m/>
    <n v="0"/>
    <m/>
    <n v="0"/>
    <n v="0"/>
    <m/>
    <n v="0"/>
    <n v="0"/>
    <m/>
    <n v="6483"/>
    <n v="6287"/>
    <n v="4793"/>
    <n v="4511"/>
    <n v="6324"/>
    <n v="6344"/>
    <n v="17600"/>
    <n v="733.33333333333337"/>
    <n v="17142"/>
    <n v="714.25"/>
    <n v="8133"/>
    <n v="7978.6833333333334"/>
  </r>
  <r>
    <x v="6"/>
    <s v="Southern University at New Orleans"/>
    <n v="160630"/>
    <x v="4"/>
    <s v="sem"/>
    <s v="sem"/>
    <n v="0"/>
    <m/>
    <n v="23202"/>
    <n v="28548"/>
    <n v="1884"/>
    <n v="1761"/>
    <n v="26912"/>
    <n v="29982"/>
    <n v="51998"/>
    <n v="1038"/>
    <n v="1733.2666666666667"/>
    <n v="60291"/>
    <n v="1103"/>
    <n v="2009.7"/>
    <m/>
    <m/>
    <m/>
    <m/>
    <m/>
    <m/>
    <m/>
    <m/>
    <n v="0"/>
    <m/>
    <n v="0"/>
    <n v="0"/>
    <m/>
    <n v="0"/>
    <n v="0"/>
    <m/>
    <n v="3519"/>
    <n v="4044"/>
    <n v="526"/>
    <n v="472"/>
    <n v="3917"/>
    <n v="5083"/>
    <n v="7962"/>
    <n v="331.75"/>
    <n v="9599"/>
    <n v="399.95833333333331"/>
    <n v="2065.0166666666664"/>
    <n v="2409.6583333333333"/>
  </r>
  <r>
    <x v="6"/>
    <s v="Louisiana State University at Alexandria"/>
    <n v="159382"/>
    <x v="12"/>
    <s v="sem"/>
    <s v="sem"/>
    <n v="0"/>
    <m/>
    <n v="26756"/>
    <n v="25547"/>
    <n v="4606"/>
    <n v="4330"/>
    <n v="26416"/>
    <n v="28249"/>
    <n v="57778"/>
    <n v="2127"/>
    <n v="1925.9333333333334"/>
    <n v="58126"/>
    <n v="4748"/>
    <n v="1937.5333333333333"/>
    <m/>
    <m/>
    <m/>
    <m/>
    <m/>
    <m/>
    <m/>
    <m/>
    <n v="0"/>
    <m/>
    <n v="0"/>
    <n v="0"/>
    <m/>
    <n v="0"/>
    <n v="0"/>
    <m/>
    <n v="0"/>
    <m/>
    <n v="0"/>
    <m/>
    <n v="0"/>
    <m/>
    <n v="0"/>
    <n v="0"/>
    <n v="0"/>
    <n v="0"/>
    <n v="1925.9333333333334"/>
    <n v="1937.5333333333333"/>
  </r>
  <r>
    <x v="6"/>
    <s v="Delgado Community College "/>
    <n v="158662"/>
    <x v="6"/>
    <s v="sem"/>
    <s v="sem"/>
    <n v="0"/>
    <m/>
    <n v="111054"/>
    <n v="124409"/>
    <n v="28525"/>
    <n v="30119"/>
    <n v="127565"/>
    <n v="136216"/>
    <n v="267144"/>
    <n v="1015"/>
    <n v="8904.7999999999993"/>
    <n v="290744"/>
    <n v="1562"/>
    <n v="9691.4666666666672"/>
    <m/>
    <m/>
    <m/>
    <m/>
    <m/>
    <m/>
    <m/>
    <m/>
    <n v="0"/>
    <m/>
    <n v="0"/>
    <n v="0"/>
    <m/>
    <n v="0"/>
    <n v="0"/>
    <m/>
    <n v="0"/>
    <m/>
    <n v="0"/>
    <m/>
    <n v="0"/>
    <m/>
    <n v="0"/>
    <n v="0"/>
    <n v="0"/>
    <n v="0"/>
    <n v="8904.7999999999993"/>
    <n v="9691.4666666666672"/>
  </r>
  <r>
    <x v="6"/>
    <s v="Baton Rouge Community College"/>
    <n v="437103"/>
    <x v="7"/>
    <s v="sem"/>
    <s v="sem"/>
    <n v="0"/>
    <m/>
    <n v="61280"/>
    <n v="64649"/>
    <n v="10499"/>
    <n v="14029"/>
    <n v="69820"/>
    <n v="73895"/>
    <n v="141599"/>
    <n v="2856"/>
    <n v="4719.9666666666662"/>
    <n v="152573"/>
    <n v="2698"/>
    <n v="5085.7666666666664"/>
    <m/>
    <m/>
    <m/>
    <m/>
    <m/>
    <m/>
    <m/>
    <m/>
    <n v="0"/>
    <m/>
    <n v="0"/>
    <n v="0"/>
    <m/>
    <n v="0"/>
    <n v="0"/>
    <m/>
    <n v="0"/>
    <m/>
    <n v="0"/>
    <m/>
    <n v="0"/>
    <m/>
    <n v="0"/>
    <n v="0"/>
    <n v="0"/>
    <n v="0"/>
    <n v="4719.9666666666662"/>
    <n v="5085.7666666666664"/>
  </r>
  <r>
    <x v="6"/>
    <s v="Bossier Parish Community College"/>
    <n v="158431"/>
    <x v="7"/>
    <s v="sem"/>
    <s v="sem"/>
    <n v="0"/>
    <m/>
    <n v="45601"/>
    <n v="47034"/>
    <n v="9200"/>
    <n v="9739"/>
    <n v="50615"/>
    <n v="48050"/>
    <n v="105416"/>
    <n v="2395"/>
    <n v="3513.8666666666668"/>
    <n v="104823"/>
    <n v="3041"/>
    <n v="3494.1"/>
    <m/>
    <m/>
    <m/>
    <m/>
    <m/>
    <m/>
    <m/>
    <m/>
    <n v="0"/>
    <m/>
    <n v="0"/>
    <n v="0"/>
    <m/>
    <n v="0"/>
    <n v="0"/>
    <m/>
    <n v="0"/>
    <m/>
    <n v="0"/>
    <m/>
    <n v="0"/>
    <m/>
    <n v="0"/>
    <n v="0"/>
    <n v="0"/>
    <n v="0"/>
    <n v="3513.8666666666668"/>
    <n v="3494.1"/>
  </r>
  <r>
    <x v="6"/>
    <s v="Louisiana State University at Eunice"/>
    <n v="159407"/>
    <x v="7"/>
    <s v="sem"/>
    <s v="sem"/>
    <n v="0"/>
    <m/>
    <n v="26113"/>
    <n v="26706"/>
    <n v="4615"/>
    <n v="4433"/>
    <n v="29056"/>
    <n v="29855"/>
    <n v="59784"/>
    <n v="1598"/>
    <n v="1992.8"/>
    <n v="60994"/>
    <n v="3078"/>
    <n v="2033.1333333333334"/>
    <m/>
    <m/>
    <m/>
    <m/>
    <m/>
    <m/>
    <m/>
    <m/>
    <n v="0"/>
    <m/>
    <n v="0"/>
    <n v="0"/>
    <m/>
    <n v="0"/>
    <n v="0"/>
    <m/>
    <n v="0"/>
    <m/>
    <n v="0"/>
    <m/>
    <n v="0"/>
    <m/>
    <n v="0"/>
    <n v="0"/>
    <n v="0"/>
    <n v="0"/>
    <n v="1992.8"/>
    <n v="2033.1333333333334"/>
  </r>
  <r>
    <x v="6"/>
    <s v="Louisiana Delta Community College"/>
    <n v="440624"/>
    <x v="8"/>
    <s v="sem"/>
    <s v="sem"/>
    <n v="0"/>
    <m/>
    <n v="9745"/>
    <n v="11696"/>
    <n v="3219"/>
    <n v="2995"/>
    <n v="12127"/>
    <n v="15431"/>
    <n v="25091"/>
    <n v="2057"/>
    <n v="836.36666666666667"/>
    <n v="30122"/>
    <n v="2684"/>
    <n v="1004.0666666666667"/>
    <m/>
    <m/>
    <m/>
    <m/>
    <m/>
    <m/>
    <m/>
    <m/>
    <n v="0"/>
    <m/>
    <n v="0"/>
    <n v="0"/>
    <m/>
    <n v="0"/>
    <n v="0"/>
    <m/>
    <n v="0"/>
    <m/>
    <n v="0"/>
    <m/>
    <n v="0"/>
    <m/>
    <n v="0"/>
    <n v="0"/>
    <n v="0"/>
    <n v="0"/>
    <n v="836.36666666666667"/>
    <n v="1004.0666666666667"/>
  </r>
  <r>
    <x v="6"/>
    <s v="Nunez Community College"/>
    <n v="158884"/>
    <x v="8"/>
    <s v="sem"/>
    <s v="sem"/>
    <n v="0"/>
    <m/>
    <n v="10389"/>
    <n v="11991"/>
    <n v="2502"/>
    <n v="3204"/>
    <n v="11876"/>
    <n v="14004"/>
    <n v="24767"/>
    <n v="2682"/>
    <n v="825.56666666666672"/>
    <n v="29199"/>
    <n v="4014"/>
    <n v="973.3"/>
    <m/>
    <m/>
    <m/>
    <m/>
    <m/>
    <m/>
    <m/>
    <m/>
    <n v="0"/>
    <m/>
    <n v="0"/>
    <n v="0"/>
    <m/>
    <n v="0"/>
    <n v="0"/>
    <m/>
    <n v="0"/>
    <m/>
    <n v="0"/>
    <m/>
    <n v="0"/>
    <m/>
    <n v="0"/>
    <n v="0"/>
    <n v="0"/>
    <n v="0"/>
    <n v="825.56666666666672"/>
    <n v="973.3"/>
  </r>
  <r>
    <x v="6"/>
    <s v="River Parishes Community College"/>
    <n v="436304"/>
    <x v="8"/>
    <s v="sem"/>
    <s v="sem"/>
    <n v="0"/>
    <m/>
    <n v="8637"/>
    <n v="8835"/>
    <n v="1555"/>
    <n v="1698"/>
    <n v="9389"/>
    <n v="11227"/>
    <n v="19581"/>
    <n v="789"/>
    <n v="652.70000000000005"/>
    <n v="21760"/>
    <n v="1567"/>
    <n v="725.33333333333337"/>
    <m/>
    <m/>
    <m/>
    <m/>
    <m/>
    <m/>
    <m/>
    <m/>
    <n v="0"/>
    <m/>
    <n v="0"/>
    <n v="0"/>
    <m/>
    <n v="0"/>
    <n v="0"/>
    <m/>
    <n v="0"/>
    <m/>
    <n v="0"/>
    <m/>
    <n v="0"/>
    <m/>
    <n v="0"/>
    <n v="0"/>
    <n v="0"/>
    <n v="0"/>
    <n v="652.70000000000005"/>
    <n v="725.33333333333337"/>
  </r>
  <r>
    <x v="6"/>
    <s v="South Louisiana Community College"/>
    <n v="434061"/>
    <x v="8"/>
    <s v="sem"/>
    <s v="sem"/>
    <n v="0"/>
    <m/>
    <n v="21214"/>
    <n v="26543"/>
    <n v="4814"/>
    <n v="6601"/>
    <n v="25057"/>
    <n v="29724"/>
    <n v="51085"/>
    <n v="3460"/>
    <n v="1702.8333333333333"/>
    <n v="62868"/>
    <n v="4055"/>
    <n v="2095.6"/>
    <m/>
    <m/>
    <m/>
    <m/>
    <m/>
    <m/>
    <m/>
    <m/>
    <n v="0"/>
    <m/>
    <n v="0"/>
    <n v="0"/>
    <m/>
    <n v="0"/>
    <n v="0"/>
    <m/>
    <n v="0"/>
    <m/>
    <n v="0"/>
    <m/>
    <n v="0"/>
    <m/>
    <n v="0"/>
    <n v="0"/>
    <n v="0"/>
    <n v="0"/>
    <n v="1702.8333333333333"/>
    <n v="2095.6"/>
  </r>
  <r>
    <x v="6"/>
    <s v="Southern University in Shreveport"/>
    <n v="160649"/>
    <x v="8"/>
    <s v="sem"/>
    <s v="sem"/>
    <n v="0"/>
    <m/>
    <n v="24955"/>
    <n v="23871"/>
    <n v="7064"/>
    <n v="7417"/>
    <n v="24185"/>
    <n v="25175"/>
    <n v="56204"/>
    <n v="2868"/>
    <n v="1873.4666666666667"/>
    <n v="56463"/>
    <n v="2614"/>
    <n v="1882.1"/>
    <m/>
    <m/>
    <m/>
    <m/>
    <m/>
    <m/>
    <m/>
    <m/>
    <n v="0"/>
    <m/>
    <n v="0"/>
    <n v="0"/>
    <m/>
    <n v="0"/>
    <n v="0"/>
    <m/>
    <n v="0"/>
    <m/>
    <n v="0"/>
    <m/>
    <n v="0"/>
    <m/>
    <n v="0"/>
    <n v="0"/>
    <n v="0"/>
    <n v="0"/>
    <n v="1873.4666666666667"/>
    <n v="1882.1"/>
  </r>
  <r>
    <x v="6"/>
    <s v="Sowela Technical Community College"/>
    <n v="160579"/>
    <x v="9"/>
    <s v="sem"/>
    <s v="sem"/>
    <n v="0"/>
    <m/>
    <n v="17431"/>
    <n v="17967"/>
    <n v="6618"/>
    <n v="5384"/>
    <n v="18180"/>
    <n v="20402"/>
    <n v="42229"/>
    <n v="987"/>
    <n v="1407.6333333333334"/>
    <n v="43753"/>
    <n v="859"/>
    <n v="1458.4333333333334"/>
    <m/>
    <m/>
    <m/>
    <m/>
    <m/>
    <m/>
    <m/>
    <m/>
    <n v="0"/>
    <m/>
    <n v="0"/>
    <n v="0"/>
    <m/>
    <n v="0"/>
    <n v="0"/>
    <m/>
    <n v="0"/>
    <m/>
    <n v="0"/>
    <m/>
    <n v="0"/>
    <m/>
    <n v="0"/>
    <n v="0"/>
    <n v="0"/>
    <n v="0"/>
    <n v="1407.6333333333334"/>
    <n v="1458.4333333333334"/>
  </r>
  <r>
    <x v="6"/>
    <s v="L.E. Fletcher Technical Community College"/>
    <n v="160481"/>
    <x v="10"/>
    <s v="sem"/>
    <s v="sem"/>
    <n v="0"/>
    <m/>
    <n v="9470"/>
    <n v="10852"/>
    <n v="2600"/>
    <n v="2984.5"/>
    <n v="11604.5"/>
    <n v="13800"/>
    <n v="23674.5"/>
    <n v="744"/>
    <n v="789.15"/>
    <n v="27636.5"/>
    <n v="1116"/>
    <n v="921.2166666666667"/>
    <n v="0"/>
    <m/>
    <n v="23389"/>
    <n v="5836"/>
    <n v="6564"/>
    <n v="4371"/>
    <n v="26209"/>
    <n v="11481"/>
    <n v="56162"/>
    <m/>
    <n v="62.402222222222221"/>
    <n v="21688"/>
    <m/>
    <n v="24.097777777777779"/>
    <n v="0"/>
    <m/>
    <n v="0"/>
    <m/>
    <n v="0"/>
    <m/>
    <n v="0"/>
    <m/>
    <n v="0"/>
    <n v="0"/>
    <n v="0"/>
    <n v="0"/>
    <n v="851.55222222222221"/>
    <n v="945.31444444444446"/>
  </r>
  <r>
    <x v="6"/>
    <s v="Louisiana Technical College-all campuses"/>
    <m/>
    <x v="13"/>
    <s v="sem"/>
    <s v="sem"/>
    <n v="0"/>
    <m/>
    <n v="159069"/>
    <n v="172619"/>
    <n v="58999"/>
    <n v="61249"/>
    <n v="171758"/>
    <n v="188692.5"/>
    <n v="389826"/>
    <n v="35050"/>
    <n v="12994.2"/>
    <n v="422560.5"/>
    <n v="62615"/>
    <n v="14085.35"/>
    <n v="0"/>
    <m/>
    <n v="40616"/>
    <n v="36936.5"/>
    <n v="23746"/>
    <n v="20692"/>
    <n v="31490"/>
    <n v="30920"/>
    <n v="95852"/>
    <m/>
    <n v="106.50222222222222"/>
    <n v="88548.5"/>
    <m/>
    <n v="98.387222222222221"/>
    <n v="0"/>
    <m/>
    <n v="0"/>
    <m/>
    <n v="0"/>
    <m/>
    <n v="0"/>
    <m/>
    <n v="0"/>
    <n v="0"/>
    <n v="0"/>
    <n v="0"/>
    <n v="13100.702222222222"/>
    <n v="14183.737222222222"/>
  </r>
  <r>
    <x v="6"/>
    <s v="Louisiana Technical College- Alexandria Campus"/>
    <n v="158088"/>
    <x v="13"/>
    <s v="sem"/>
    <s v="sem"/>
    <m/>
    <m/>
    <m/>
    <m/>
    <m/>
    <m/>
    <m/>
    <m/>
    <n v="0"/>
    <m/>
    <n v="0"/>
    <n v="0"/>
    <m/>
    <n v="0"/>
    <m/>
    <m/>
    <m/>
    <m/>
    <m/>
    <m/>
    <m/>
    <m/>
    <n v="0"/>
    <m/>
    <n v="0"/>
    <n v="0"/>
    <m/>
    <n v="0"/>
    <m/>
    <m/>
    <m/>
    <m/>
    <m/>
    <m/>
    <m/>
    <m/>
    <n v="0"/>
    <n v="0"/>
    <n v="0"/>
    <n v="0"/>
    <n v="0"/>
    <n v="0"/>
  </r>
  <r>
    <x v="6"/>
    <s v="Louisiana Technical College-Acadian Campus"/>
    <n v="160560"/>
    <x v="13"/>
    <s v="sem"/>
    <s v="sem"/>
    <m/>
    <m/>
    <m/>
    <m/>
    <m/>
    <m/>
    <m/>
    <m/>
    <n v="0"/>
    <m/>
    <n v="0"/>
    <n v="0"/>
    <m/>
    <n v="0"/>
    <m/>
    <m/>
    <m/>
    <m/>
    <m/>
    <m/>
    <m/>
    <m/>
    <n v="0"/>
    <m/>
    <n v="0"/>
    <n v="0"/>
    <m/>
    <n v="0"/>
    <m/>
    <m/>
    <m/>
    <m/>
    <m/>
    <m/>
    <m/>
    <m/>
    <n v="0"/>
    <n v="0"/>
    <n v="0"/>
    <n v="0"/>
    <n v="0"/>
    <n v="0"/>
  </r>
  <r>
    <x v="6"/>
    <s v="Louisiana Technical College-Ascension Campus"/>
    <n v="158219"/>
    <x v="13"/>
    <s v="sem"/>
    <s v="sem"/>
    <m/>
    <m/>
    <m/>
    <m/>
    <m/>
    <m/>
    <m/>
    <m/>
    <n v="0"/>
    <m/>
    <n v="0"/>
    <n v="0"/>
    <m/>
    <n v="0"/>
    <m/>
    <m/>
    <m/>
    <m/>
    <m/>
    <m/>
    <m/>
    <m/>
    <n v="0"/>
    <m/>
    <n v="0"/>
    <n v="0"/>
    <m/>
    <n v="0"/>
    <m/>
    <m/>
    <m/>
    <m/>
    <m/>
    <m/>
    <m/>
    <m/>
    <n v="0"/>
    <n v="0"/>
    <n v="0"/>
    <n v="0"/>
    <n v="0"/>
    <n v="0"/>
  </r>
  <r>
    <x v="6"/>
    <s v="Louisiana Technical College-Avoyelles Campus"/>
    <n v="158237"/>
    <x v="13"/>
    <s v="sem"/>
    <s v="sem"/>
    <m/>
    <m/>
    <m/>
    <m/>
    <m/>
    <m/>
    <m/>
    <m/>
    <n v="0"/>
    <m/>
    <n v="0"/>
    <n v="0"/>
    <m/>
    <n v="0"/>
    <m/>
    <m/>
    <m/>
    <m/>
    <m/>
    <m/>
    <m/>
    <m/>
    <n v="0"/>
    <m/>
    <n v="0"/>
    <n v="0"/>
    <m/>
    <n v="0"/>
    <m/>
    <m/>
    <m/>
    <m/>
    <m/>
    <m/>
    <m/>
    <m/>
    <n v="0"/>
    <n v="0"/>
    <n v="0"/>
    <n v="0"/>
    <n v="0"/>
    <n v="0"/>
  </r>
  <r>
    <x v="6"/>
    <s v="Louisiana Technical College-Bastrop Campus"/>
    <n v="158307"/>
    <x v="13"/>
    <s v="sem"/>
    <s v="sem"/>
    <m/>
    <m/>
    <m/>
    <m/>
    <m/>
    <m/>
    <m/>
    <m/>
    <n v="0"/>
    <m/>
    <n v="0"/>
    <n v="0"/>
    <m/>
    <n v="0"/>
    <m/>
    <m/>
    <m/>
    <m/>
    <m/>
    <m/>
    <m/>
    <m/>
    <n v="0"/>
    <m/>
    <n v="0"/>
    <n v="0"/>
    <m/>
    <n v="0"/>
    <m/>
    <m/>
    <m/>
    <m/>
    <m/>
    <m/>
    <m/>
    <m/>
    <n v="0"/>
    <n v="0"/>
    <n v="0"/>
    <n v="0"/>
    <n v="0"/>
    <n v="0"/>
  </r>
  <r>
    <x v="6"/>
    <s v="Louisiana Technical College-Baton Rouge Campus"/>
    <n v="158352"/>
    <x v="13"/>
    <s v="sem"/>
    <s v="sem"/>
    <m/>
    <m/>
    <m/>
    <m/>
    <m/>
    <m/>
    <m/>
    <m/>
    <n v="0"/>
    <m/>
    <n v="0"/>
    <n v="0"/>
    <m/>
    <n v="0"/>
    <m/>
    <m/>
    <m/>
    <m/>
    <m/>
    <m/>
    <m/>
    <m/>
    <n v="0"/>
    <m/>
    <n v="0"/>
    <n v="0"/>
    <m/>
    <n v="0"/>
    <m/>
    <m/>
    <m/>
    <m/>
    <m/>
    <m/>
    <m/>
    <m/>
    <n v="0"/>
    <n v="0"/>
    <n v="0"/>
    <n v="0"/>
    <n v="0"/>
    <n v="0"/>
  </r>
  <r>
    <x v="6"/>
    <s v="Louisiana Technical College-Charles B. Coreil Campus"/>
    <n v="160816"/>
    <x v="13"/>
    <s v="sem"/>
    <s v="sem"/>
    <m/>
    <m/>
    <m/>
    <m/>
    <m/>
    <m/>
    <m/>
    <m/>
    <n v="0"/>
    <m/>
    <n v="0"/>
    <n v="0"/>
    <m/>
    <n v="0"/>
    <m/>
    <m/>
    <m/>
    <m/>
    <m/>
    <m/>
    <m/>
    <m/>
    <n v="0"/>
    <m/>
    <n v="0"/>
    <n v="0"/>
    <m/>
    <n v="0"/>
    <m/>
    <m/>
    <m/>
    <m/>
    <m/>
    <m/>
    <m/>
    <m/>
    <n v="0"/>
    <n v="0"/>
    <n v="0"/>
    <n v="0"/>
    <n v="0"/>
    <n v="0"/>
  </r>
  <r>
    <x v="6"/>
    <s v="Louisiana Technical College-Delta/Ouachita Campus"/>
    <n v="158769"/>
    <x v="13"/>
    <s v="sem"/>
    <s v="sem"/>
    <m/>
    <m/>
    <m/>
    <m/>
    <m/>
    <m/>
    <m/>
    <m/>
    <n v="0"/>
    <m/>
    <n v="0"/>
    <n v="0"/>
    <m/>
    <n v="0"/>
    <m/>
    <m/>
    <m/>
    <m/>
    <m/>
    <m/>
    <m/>
    <m/>
    <n v="0"/>
    <m/>
    <n v="0"/>
    <n v="0"/>
    <m/>
    <n v="0"/>
    <m/>
    <m/>
    <m/>
    <m/>
    <m/>
    <m/>
    <m/>
    <m/>
    <n v="0"/>
    <n v="0"/>
    <n v="0"/>
    <n v="0"/>
    <n v="0"/>
    <n v="0"/>
  </r>
  <r>
    <x v="6"/>
    <s v="Louisiana Technical College-Evangeline Campus"/>
    <n v="158893"/>
    <x v="13"/>
    <s v="sem"/>
    <s v="sem"/>
    <m/>
    <m/>
    <m/>
    <m/>
    <m/>
    <m/>
    <m/>
    <m/>
    <n v="0"/>
    <m/>
    <n v="0"/>
    <n v="0"/>
    <m/>
    <n v="0"/>
    <m/>
    <m/>
    <m/>
    <m/>
    <m/>
    <m/>
    <m/>
    <m/>
    <n v="0"/>
    <m/>
    <n v="0"/>
    <n v="0"/>
    <m/>
    <n v="0"/>
    <m/>
    <m/>
    <m/>
    <m/>
    <m/>
    <m/>
    <m/>
    <m/>
    <n v="0"/>
    <n v="0"/>
    <n v="0"/>
    <n v="0"/>
    <n v="0"/>
    <n v="0"/>
  </r>
  <r>
    <x v="6"/>
    <s v="Louisiana Technical College-Florida Parishes Campus"/>
    <n v="158936"/>
    <x v="13"/>
    <s v="sem"/>
    <s v="sem"/>
    <m/>
    <m/>
    <m/>
    <m/>
    <m/>
    <m/>
    <m/>
    <m/>
    <n v="0"/>
    <m/>
    <n v="0"/>
    <n v="0"/>
    <m/>
    <n v="0"/>
    <m/>
    <m/>
    <m/>
    <m/>
    <m/>
    <m/>
    <m/>
    <m/>
    <n v="0"/>
    <m/>
    <n v="0"/>
    <n v="0"/>
    <m/>
    <n v="0"/>
    <m/>
    <m/>
    <m/>
    <m/>
    <m/>
    <m/>
    <m/>
    <m/>
    <n v="0"/>
    <n v="0"/>
    <n v="0"/>
    <n v="0"/>
    <n v="0"/>
    <n v="0"/>
  </r>
  <r>
    <x v="6"/>
    <s v="Louisiana Technical College-Folkes Campus"/>
    <n v="158945"/>
    <x v="13"/>
    <s v="sem"/>
    <s v="sem"/>
    <m/>
    <m/>
    <m/>
    <m/>
    <m/>
    <m/>
    <m/>
    <m/>
    <n v="0"/>
    <m/>
    <n v="0"/>
    <n v="0"/>
    <m/>
    <n v="0"/>
    <m/>
    <m/>
    <m/>
    <m/>
    <m/>
    <m/>
    <m/>
    <m/>
    <n v="0"/>
    <m/>
    <n v="0"/>
    <n v="0"/>
    <m/>
    <n v="0"/>
    <m/>
    <m/>
    <m/>
    <m/>
    <m/>
    <m/>
    <m/>
    <m/>
    <n v="0"/>
    <n v="0"/>
    <n v="0"/>
    <n v="0"/>
    <n v="0"/>
    <n v="0"/>
  </r>
  <r>
    <x v="6"/>
    <s v="Louisiana Technical College-Gulf Area Campus"/>
    <n v="159018"/>
    <x v="13"/>
    <s v="sem"/>
    <s v="sem"/>
    <m/>
    <m/>
    <m/>
    <m/>
    <m/>
    <m/>
    <m/>
    <m/>
    <n v="0"/>
    <m/>
    <n v="0"/>
    <n v="0"/>
    <m/>
    <n v="0"/>
    <m/>
    <m/>
    <m/>
    <m/>
    <m/>
    <m/>
    <m/>
    <m/>
    <n v="0"/>
    <m/>
    <n v="0"/>
    <n v="0"/>
    <m/>
    <n v="0"/>
    <m/>
    <m/>
    <m/>
    <m/>
    <m/>
    <m/>
    <m/>
    <m/>
    <n v="0"/>
    <n v="0"/>
    <n v="0"/>
    <n v="0"/>
    <n v="0"/>
    <n v="0"/>
  </r>
  <r>
    <x v="6"/>
    <s v="Louisiana Technical College-Hammond Area Campus"/>
    <n v="159045"/>
    <x v="13"/>
    <s v="sem"/>
    <s v="sem"/>
    <m/>
    <m/>
    <m/>
    <m/>
    <m/>
    <m/>
    <m/>
    <m/>
    <n v="0"/>
    <m/>
    <n v="0"/>
    <n v="0"/>
    <m/>
    <n v="0"/>
    <m/>
    <m/>
    <m/>
    <m/>
    <m/>
    <m/>
    <m/>
    <m/>
    <n v="0"/>
    <m/>
    <n v="0"/>
    <n v="0"/>
    <m/>
    <n v="0"/>
    <m/>
    <m/>
    <m/>
    <m/>
    <m/>
    <m/>
    <m/>
    <m/>
    <n v="0"/>
    <n v="0"/>
    <n v="0"/>
    <n v="0"/>
    <n v="0"/>
    <n v="0"/>
  </r>
  <r>
    <x v="6"/>
    <s v="Louisiana Technical College-Huey P. Long Campus"/>
    <n v="159090"/>
    <x v="13"/>
    <s v="sem"/>
    <s v="sem"/>
    <m/>
    <m/>
    <m/>
    <m/>
    <m/>
    <m/>
    <m/>
    <m/>
    <n v="0"/>
    <m/>
    <n v="0"/>
    <n v="0"/>
    <m/>
    <n v="0"/>
    <m/>
    <m/>
    <m/>
    <m/>
    <m/>
    <m/>
    <m/>
    <m/>
    <n v="0"/>
    <m/>
    <n v="0"/>
    <n v="0"/>
    <m/>
    <n v="0"/>
    <m/>
    <m/>
    <m/>
    <m/>
    <m/>
    <m/>
    <m/>
    <m/>
    <n v="0"/>
    <n v="0"/>
    <n v="0"/>
    <n v="0"/>
    <n v="0"/>
    <n v="0"/>
  </r>
  <r>
    <x v="6"/>
    <s v="Louisiana Technical College-Jefferson Campus"/>
    <n v="159258"/>
    <x v="13"/>
    <s v="sem"/>
    <s v="sem"/>
    <m/>
    <m/>
    <m/>
    <m/>
    <m/>
    <m/>
    <m/>
    <m/>
    <n v="0"/>
    <m/>
    <n v="0"/>
    <n v="0"/>
    <m/>
    <n v="0"/>
    <m/>
    <m/>
    <m/>
    <m/>
    <m/>
    <m/>
    <m/>
    <m/>
    <n v="0"/>
    <m/>
    <n v="0"/>
    <n v="0"/>
    <m/>
    <n v="0"/>
    <m/>
    <m/>
    <m/>
    <m/>
    <m/>
    <m/>
    <m/>
    <m/>
    <n v="0"/>
    <n v="0"/>
    <n v="0"/>
    <n v="0"/>
    <n v="0"/>
    <n v="0"/>
  </r>
  <r>
    <x v="6"/>
    <s v="Louisiana Technical College-Jumonville Memorial Campus"/>
    <n v="160214"/>
    <x v="13"/>
    <s v="sem"/>
    <s v="sem"/>
    <m/>
    <m/>
    <m/>
    <m/>
    <m/>
    <m/>
    <m/>
    <m/>
    <n v="0"/>
    <m/>
    <n v="0"/>
    <n v="0"/>
    <m/>
    <n v="0"/>
    <m/>
    <m/>
    <m/>
    <m/>
    <m/>
    <m/>
    <m/>
    <m/>
    <n v="0"/>
    <m/>
    <n v="0"/>
    <n v="0"/>
    <m/>
    <n v="0"/>
    <m/>
    <m/>
    <m/>
    <m/>
    <m/>
    <m/>
    <m/>
    <m/>
    <n v="0"/>
    <n v="0"/>
    <n v="0"/>
    <n v="0"/>
    <n v="0"/>
    <n v="0"/>
  </r>
  <r>
    <x v="6"/>
    <s v="Louisiana Technical College-Lafayette Campus"/>
    <n v="159443"/>
    <x v="13"/>
    <s v="sem"/>
    <s v="sem"/>
    <m/>
    <m/>
    <m/>
    <m/>
    <m/>
    <m/>
    <m/>
    <m/>
    <n v="0"/>
    <m/>
    <n v="0"/>
    <n v="0"/>
    <m/>
    <n v="0"/>
    <m/>
    <m/>
    <m/>
    <m/>
    <m/>
    <m/>
    <m/>
    <m/>
    <n v="0"/>
    <m/>
    <n v="0"/>
    <n v="0"/>
    <m/>
    <n v="0"/>
    <m/>
    <m/>
    <m/>
    <m/>
    <m/>
    <m/>
    <m/>
    <m/>
    <n v="0"/>
    <n v="0"/>
    <n v="0"/>
    <n v="0"/>
    <n v="0"/>
    <n v="0"/>
  </r>
  <r>
    <x v="6"/>
    <s v="Louisiana Technical College-Lafourche Campus"/>
    <n v="160719"/>
    <x v="13"/>
    <s v="sem"/>
    <s v="sem"/>
    <m/>
    <m/>
    <m/>
    <m/>
    <m/>
    <m/>
    <m/>
    <m/>
    <n v="0"/>
    <m/>
    <n v="0"/>
    <n v="0"/>
    <m/>
    <n v="0"/>
    <m/>
    <m/>
    <m/>
    <m/>
    <m/>
    <m/>
    <m/>
    <m/>
    <n v="0"/>
    <m/>
    <n v="0"/>
    <n v="0"/>
    <m/>
    <n v="0"/>
    <m/>
    <m/>
    <m/>
    <m/>
    <m/>
    <m/>
    <m/>
    <m/>
    <n v="0"/>
    <n v="0"/>
    <n v="0"/>
    <n v="0"/>
    <n v="0"/>
    <n v="0"/>
  </r>
  <r>
    <x v="6"/>
    <s v="Louisiana Technical College-Lamar Salter Campus"/>
    <n v="160843"/>
    <x v="13"/>
    <s v="sem"/>
    <s v="sem"/>
    <m/>
    <m/>
    <m/>
    <m/>
    <m/>
    <m/>
    <m/>
    <m/>
    <n v="0"/>
    <m/>
    <n v="0"/>
    <n v="0"/>
    <m/>
    <n v="0"/>
    <m/>
    <m/>
    <m/>
    <m/>
    <m/>
    <m/>
    <m/>
    <m/>
    <n v="0"/>
    <m/>
    <n v="0"/>
    <n v="0"/>
    <m/>
    <n v="0"/>
    <m/>
    <m/>
    <m/>
    <m/>
    <m/>
    <m/>
    <m/>
    <m/>
    <n v="0"/>
    <n v="0"/>
    <n v="0"/>
    <n v="0"/>
    <n v="0"/>
    <n v="0"/>
  </r>
  <r>
    <x v="6"/>
    <s v="Louisiana Technical College-Mansfield Campus"/>
    <n v="159692"/>
    <x v="13"/>
    <s v="sem"/>
    <s v="sem"/>
    <m/>
    <m/>
    <m/>
    <m/>
    <m/>
    <m/>
    <m/>
    <m/>
    <n v="0"/>
    <m/>
    <n v="0"/>
    <n v="0"/>
    <m/>
    <n v="0"/>
    <m/>
    <m/>
    <m/>
    <m/>
    <m/>
    <m/>
    <m/>
    <m/>
    <n v="0"/>
    <m/>
    <n v="0"/>
    <n v="0"/>
    <m/>
    <n v="0"/>
    <m/>
    <m/>
    <m/>
    <m/>
    <m/>
    <m/>
    <m/>
    <m/>
    <n v="0"/>
    <n v="0"/>
    <n v="0"/>
    <n v="0"/>
    <n v="0"/>
    <n v="0"/>
  </r>
  <r>
    <x v="6"/>
    <s v="Louisiana Technical College-Morgan Smith Campus"/>
    <n v="159249"/>
    <x v="13"/>
    <s v="sem"/>
    <s v="sem"/>
    <m/>
    <m/>
    <m/>
    <m/>
    <m/>
    <m/>
    <m/>
    <m/>
    <n v="0"/>
    <m/>
    <n v="0"/>
    <n v="0"/>
    <m/>
    <n v="0"/>
    <m/>
    <m/>
    <m/>
    <m/>
    <m/>
    <m/>
    <m/>
    <m/>
    <n v="0"/>
    <m/>
    <n v="0"/>
    <n v="0"/>
    <m/>
    <n v="0"/>
    <m/>
    <m/>
    <m/>
    <m/>
    <m/>
    <m/>
    <m/>
    <m/>
    <n v="0"/>
    <n v="0"/>
    <n v="0"/>
    <n v="0"/>
    <n v="0"/>
    <n v="0"/>
  </r>
  <r>
    <x v="6"/>
    <s v="Louisiana Technical College-Nachitoches Campus"/>
    <n v="159823"/>
    <x v="13"/>
    <s v="sem"/>
    <s v="sem"/>
    <m/>
    <m/>
    <m/>
    <m/>
    <m/>
    <m/>
    <m/>
    <m/>
    <n v="0"/>
    <m/>
    <n v="0"/>
    <n v="0"/>
    <m/>
    <n v="0"/>
    <m/>
    <m/>
    <m/>
    <m/>
    <m/>
    <m/>
    <m/>
    <m/>
    <n v="0"/>
    <m/>
    <n v="0"/>
    <n v="0"/>
    <m/>
    <n v="0"/>
    <m/>
    <m/>
    <m/>
    <m/>
    <m/>
    <m/>
    <m/>
    <m/>
    <n v="0"/>
    <n v="0"/>
    <n v="0"/>
    <n v="0"/>
    <n v="0"/>
    <n v="0"/>
  </r>
  <r>
    <x v="6"/>
    <s v="Louisiana Technical College-North Central Campus"/>
    <n v="159984"/>
    <x v="13"/>
    <s v="sem"/>
    <s v="sem"/>
    <m/>
    <m/>
    <m/>
    <m/>
    <m/>
    <m/>
    <m/>
    <m/>
    <n v="0"/>
    <m/>
    <n v="0"/>
    <n v="0"/>
    <m/>
    <n v="0"/>
    <m/>
    <m/>
    <m/>
    <m/>
    <m/>
    <m/>
    <m/>
    <m/>
    <n v="0"/>
    <m/>
    <n v="0"/>
    <n v="0"/>
    <m/>
    <n v="0"/>
    <m/>
    <m/>
    <m/>
    <m/>
    <m/>
    <m/>
    <m/>
    <m/>
    <n v="0"/>
    <n v="0"/>
    <n v="0"/>
    <n v="0"/>
    <n v="0"/>
    <n v="0"/>
  </r>
  <r>
    <x v="6"/>
    <s v="Louisiana Technical College-Northeast Louisiana Campus"/>
    <n v="160001"/>
    <x v="13"/>
    <s v="sem"/>
    <s v="sem"/>
    <m/>
    <m/>
    <m/>
    <m/>
    <m/>
    <m/>
    <m/>
    <m/>
    <n v="0"/>
    <m/>
    <n v="0"/>
    <n v="0"/>
    <m/>
    <n v="0"/>
    <m/>
    <m/>
    <m/>
    <m/>
    <m/>
    <m/>
    <m/>
    <m/>
    <n v="0"/>
    <m/>
    <n v="0"/>
    <n v="0"/>
    <m/>
    <n v="0"/>
    <m/>
    <m/>
    <m/>
    <m/>
    <m/>
    <m/>
    <m/>
    <m/>
    <n v="0"/>
    <n v="0"/>
    <n v="0"/>
    <n v="0"/>
    <n v="0"/>
    <n v="0"/>
  </r>
  <r>
    <x v="6"/>
    <s v="Louisiana Technical College-Northwest Louisiana Campus"/>
    <n v="160010"/>
    <x v="13"/>
    <s v="sem"/>
    <s v="sem"/>
    <m/>
    <m/>
    <m/>
    <m/>
    <m/>
    <m/>
    <m/>
    <m/>
    <n v="0"/>
    <m/>
    <n v="0"/>
    <n v="0"/>
    <m/>
    <n v="0"/>
    <m/>
    <m/>
    <m/>
    <m/>
    <m/>
    <m/>
    <m/>
    <m/>
    <n v="0"/>
    <m/>
    <n v="0"/>
    <n v="0"/>
    <m/>
    <n v="0"/>
    <m/>
    <m/>
    <m/>
    <m/>
    <m/>
    <m/>
    <m/>
    <m/>
    <n v="0"/>
    <n v="0"/>
    <n v="0"/>
    <n v="0"/>
    <n v="0"/>
    <n v="0"/>
  </r>
  <r>
    <x v="6"/>
    <s v="Louisiana Technical College-Oakdale Campus"/>
    <n v="160047"/>
    <x v="13"/>
    <s v="sem"/>
    <s v="sem"/>
    <m/>
    <m/>
    <m/>
    <m/>
    <m/>
    <m/>
    <m/>
    <m/>
    <n v="0"/>
    <m/>
    <n v="0"/>
    <n v="0"/>
    <m/>
    <n v="0"/>
    <m/>
    <m/>
    <m/>
    <m/>
    <m/>
    <m/>
    <m/>
    <m/>
    <n v="0"/>
    <m/>
    <n v="0"/>
    <n v="0"/>
    <m/>
    <n v="0"/>
    <m/>
    <m/>
    <m/>
    <m/>
    <m/>
    <m/>
    <m/>
    <m/>
    <n v="0"/>
    <n v="0"/>
    <n v="0"/>
    <n v="0"/>
    <n v="0"/>
    <n v="0"/>
  </r>
  <r>
    <x v="6"/>
    <s v="Louisiana Technical College-River Parishes Campus"/>
    <n v="160311"/>
    <x v="13"/>
    <s v="sem"/>
    <s v="sem"/>
    <m/>
    <m/>
    <m/>
    <m/>
    <m/>
    <m/>
    <m/>
    <m/>
    <n v="0"/>
    <m/>
    <n v="0"/>
    <n v="0"/>
    <m/>
    <n v="0"/>
    <m/>
    <m/>
    <m/>
    <m/>
    <m/>
    <m/>
    <m/>
    <m/>
    <n v="0"/>
    <m/>
    <n v="0"/>
    <n v="0"/>
    <m/>
    <n v="0"/>
    <m/>
    <m/>
    <m/>
    <m/>
    <m/>
    <m/>
    <m/>
    <m/>
    <n v="0"/>
    <n v="0"/>
    <n v="0"/>
    <n v="0"/>
    <n v="0"/>
    <n v="0"/>
  </r>
  <r>
    <x v="6"/>
    <s v="Louisiana Technical College-Ruston Campus"/>
    <n v="160366"/>
    <x v="13"/>
    <s v="sem"/>
    <s v="sem"/>
    <m/>
    <m/>
    <m/>
    <m/>
    <m/>
    <m/>
    <m/>
    <m/>
    <n v="0"/>
    <m/>
    <n v="0"/>
    <n v="0"/>
    <m/>
    <n v="0"/>
    <m/>
    <m/>
    <m/>
    <m/>
    <m/>
    <m/>
    <m/>
    <m/>
    <n v="0"/>
    <m/>
    <n v="0"/>
    <n v="0"/>
    <m/>
    <n v="0"/>
    <m/>
    <m/>
    <m/>
    <m/>
    <m/>
    <m/>
    <m/>
    <m/>
    <n v="0"/>
    <n v="0"/>
    <n v="0"/>
    <n v="0"/>
    <n v="0"/>
    <n v="0"/>
  </r>
  <r>
    <x v="6"/>
    <s v="Louisiana Technical College-Sabine Valley Campus"/>
    <n v="160384"/>
    <x v="13"/>
    <s v="sem"/>
    <s v="sem"/>
    <m/>
    <m/>
    <m/>
    <m/>
    <m/>
    <m/>
    <m/>
    <m/>
    <n v="0"/>
    <m/>
    <n v="0"/>
    <n v="0"/>
    <m/>
    <n v="0"/>
    <m/>
    <m/>
    <m/>
    <m/>
    <m/>
    <m/>
    <m/>
    <m/>
    <n v="0"/>
    <m/>
    <n v="0"/>
    <n v="0"/>
    <m/>
    <n v="0"/>
    <m/>
    <m/>
    <m/>
    <m/>
    <m/>
    <m/>
    <m/>
    <m/>
    <n v="0"/>
    <n v="0"/>
    <n v="0"/>
    <n v="0"/>
    <n v="0"/>
    <n v="0"/>
  </r>
  <r>
    <x v="6"/>
    <s v="Louisiana Technical College-Shelby M. Jackson Campus"/>
    <n v="158583"/>
    <x v="13"/>
    <s v="sem"/>
    <s v="sem"/>
    <m/>
    <m/>
    <m/>
    <m/>
    <m/>
    <m/>
    <m/>
    <m/>
    <n v="0"/>
    <m/>
    <n v="0"/>
    <n v="0"/>
    <m/>
    <n v="0"/>
    <m/>
    <m/>
    <m/>
    <m/>
    <m/>
    <m/>
    <m/>
    <m/>
    <n v="0"/>
    <m/>
    <n v="0"/>
    <n v="0"/>
    <m/>
    <n v="0"/>
    <m/>
    <m/>
    <m/>
    <m/>
    <m/>
    <m/>
    <m/>
    <m/>
    <n v="0"/>
    <n v="0"/>
    <n v="0"/>
    <n v="0"/>
    <n v="0"/>
    <n v="0"/>
  </r>
  <r>
    <x v="6"/>
    <s v="Louisiana Technical College-Shreveport/Bossier Campus"/>
    <n v="160427"/>
    <x v="13"/>
    <s v="sem"/>
    <s v="sem"/>
    <m/>
    <m/>
    <m/>
    <m/>
    <m/>
    <m/>
    <m/>
    <m/>
    <n v="0"/>
    <m/>
    <n v="0"/>
    <n v="0"/>
    <m/>
    <n v="0"/>
    <m/>
    <m/>
    <m/>
    <m/>
    <m/>
    <m/>
    <m/>
    <m/>
    <n v="0"/>
    <m/>
    <n v="0"/>
    <n v="0"/>
    <m/>
    <n v="0"/>
    <m/>
    <m/>
    <m/>
    <m/>
    <m/>
    <m/>
    <m/>
    <m/>
    <n v="0"/>
    <n v="0"/>
    <n v="0"/>
    <n v="0"/>
    <n v="0"/>
    <n v="0"/>
  </r>
  <r>
    <x v="6"/>
    <s v="Louisiana Technical College-Sidney N. Collier Campus"/>
    <n v="160436"/>
    <x v="13"/>
    <s v="sem"/>
    <s v="sem"/>
    <m/>
    <m/>
    <m/>
    <m/>
    <m/>
    <m/>
    <m/>
    <m/>
    <n v="0"/>
    <m/>
    <n v="0"/>
    <n v="0"/>
    <m/>
    <n v="0"/>
    <m/>
    <m/>
    <m/>
    <m/>
    <m/>
    <m/>
    <m/>
    <m/>
    <n v="0"/>
    <m/>
    <n v="0"/>
    <n v="0"/>
    <m/>
    <n v="0"/>
    <m/>
    <m/>
    <m/>
    <m/>
    <m/>
    <m/>
    <m/>
    <m/>
    <n v="0"/>
    <n v="0"/>
    <n v="0"/>
    <n v="0"/>
    <n v="0"/>
    <n v="0"/>
  </r>
  <r>
    <x v="6"/>
    <s v="Louisiana Technical College-Slidell Campus"/>
    <n v="160454"/>
    <x v="13"/>
    <s v="sem"/>
    <s v="sem"/>
    <m/>
    <m/>
    <m/>
    <m/>
    <m/>
    <m/>
    <m/>
    <m/>
    <n v="0"/>
    <m/>
    <n v="0"/>
    <n v="0"/>
    <m/>
    <n v="0"/>
    <m/>
    <m/>
    <m/>
    <m/>
    <m/>
    <m/>
    <m/>
    <m/>
    <n v="0"/>
    <m/>
    <n v="0"/>
    <n v="0"/>
    <m/>
    <n v="0"/>
    <m/>
    <m/>
    <m/>
    <m/>
    <m/>
    <m/>
    <m/>
    <m/>
    <n v="0"/>
    <n v="0"/>
    <n v="0"/>
    <n v="0"/>
    <n v="0"/>
    <n v="0"/>
  </r>
  <r>
    <x v="6"/>
    <s v="Louisiana Technical College-Sullivan Campus"/>
    <n v="160667"/>
    <x v="13"/>
    <s v="sem"/>
    <s v="sem"/>
    <m/>
    <m/>
    <m/>
    <m/>
    <m/>
    <m/>
    <m/>
    <m/>
    <n v="0"/>
    <m/>
    <n v="0"/>
    <n v="0"/>
    <m/>
    <n v="0"/>
    <m/>
    <m/>
    <m/>
    <m/>
    <m/>
    <m/>
    <m/>
    <m/>
    <n v="0"/>
    <m/>
    <n v="0"/>
    <n v="0"/>
    <m/>
    <n v="0"/>
    <m/>
    <m/>
    <m/>
    <m/>
    <m/>
    <m/>
    <m/>
    <m/>
    <n v="0"/>
    <n v="0"/>
    <n v="0"/>
    <n v="0"/>
    <n v="0"/>
    <n v="0"/>
  </r>
  <r>
    <x v="6"/>
    <s v="Louisiana Technical College-T.H. Harris Campus"/>
    <n v="160676"/>
    <x v="13"/>
    <s v="sem"/>
    <s v="sem"/>
    <m/>
    <m/>
    <m/>
    <m/>
    <m/>
    <m/>
    <m/>
    <m/>
    <n v="0"/>
    <m/>
    <n v="0"/>
    <n v="0"/>
    <m/>
    <n v="0"/>
    <m/>
    <m/>
    <m/>
    <m/>
    <m/>
    <m/>
    <m/>
    <m/>
    <n v="0"/>
    <m/>
    <n v="0"/>
    <n v="0"/>
    <m/>
    <n v="0"/>
    <m/>
    <m/>
    <m/>
    <m/>
    <m/>
    <m/>
    <m/>
    <m/>
    <n v="0"/>
    <n v="0"/>
    <n v="0"/>
    <n v="0"/>
    <n v="0"/>
    <n v="0"/>
  </r>
  <r>
    <x v="6"/>
    <s v="Louisiana Technical College-Tallulah Campus"/>
    <n v="160685"/>
    <x v="13"/>
    <s v="sem"/>
    <s v="sem"/>
    <m/>
    <m/>
    <m/>
    <m/>
    <m/>
    <m/>
    <m/>
    <m/>
    <n v="0"/>
    <m/>
    <n v="0"/>
    <n v="0"/>
    <m/>
    <n v="0"/>
    <m/>
    <m/>
    <m/>
    <m/>
    <m/>
    <m/>
    <m/>
    <m/>
    <n v="0"/>
    <m/>
    <n v="0"/>
    <n v="0"/>
    <m/>
    <n v="0"/>
    <m/>
    <m/>
    <m/>
    <m/>
    <m/>
    <m/>
    <m/>
    <m/>
    <n v="0"/>
    <n v="0"/>
    <n v="0"/>
    <n v="0"/>
    <n v="0"/>
    <n v="0"/>
  </r>
  <r>
    <x v="6"/>
    <s v="Louisiana Technical College-Teche Area Campus"/>
    <n v="160694"/>
    <x v="13"/>
    <s v="sem"/>
    <s v="sem"/>
    <m/>
    <m/>
    <m/>
    <m/>
    <m/>
    <m/>
    <m/>
    <m/>
    <n v="0"/>
    <m/>
    <n v="0"/>
    <n v="0"/>
    <m/>
    <n v="0"/>
    <m/>
    <m/>
    <m/>
    <m/>
    <m/>
    <m/>
    <m/>
    <m/>
    <n v="0"/>
    <m/>
    <n v="0"/>
    <n v="0"/>
    <m/>
    <n v="0"/>
    <m/>
    <m/>
    <m/>
    <m/>
    <m/>
    <m/>
    <m/>
    <m/>
    <n v="0"/>
    <n v="0"/>
    <n v="0"/>
    <n v="0"/>
    <n v="0"/>
    <n v="0"/>
  </r>
  <r>
    <x v="6"/>
    <s v="Louisiana Technical College-West Jefferson Campus"/>
    <n v="159267"/>
    <x v="13"/>
    <s v="sem"/>
    <s v="sem"/>
    <m/>
    <m/>
    <m/>
    <m/>
    <m/>
    <m/>
    <m/>
    <m/>
    <n v="0"/>
    <m/>
    <n v="0"/>
    <n v="0"/>
    <m/>
    <n v="0"/>
    <m/>
    <m/>
    <m/>
    <m/>
    <m/>
    <m/>
    <m/>
    <m/>
    <n v="0"/>
    <m/>
    <n v="0"/>
    <n v="0"/>
    <m/>
    <n v="0"/>
    <m/>
    <m/>
    <m/>
    <m/>
    <m/>
    <m/>
    <m/>
    <m/>
    <n v="0"/>
    <n v="0"/>
    <n v="0"/>
    <n v="0"/>
    <n v="0"/>
    <n v="0"/>
  </r>
  <r>
    <x v="6"/>
    <s v="Louisiana Technical College-Westside Campus"/>
    <n v="160870"/>
    <x v="13"/>
    <s v="sem"/>
    <s v="sem"/>
    <m/>
    <m/>
    <m/>
    <m/>
    <m/>
    <m/>
    <m/>
    <m/>
    <n v="0"/>
    <m/>
    <n v="0"/>
    <n v="0"/>
    <m/>
    <n v="0"/>
    <m/>
    <m/>
    <m/>
    <m/>
    <m/>
    <m/>
    <m/>
    <m/>
    <n v="0"/>
    <m/>
    <n v="0"/>
    <n v="0"/>
    <m/>
    <n v="0"/>
    <m/>
    <m/>
    <m/>
    <m/>
    <m/>
    <m/>
    <m/>
    <m/>
    <n v="0"/>
    <n v="0"/>
    <n v="0"/>
    <n v="0"/>
    <n v="0"/>
    <n v="0"/>
  </r>
  <r>
    <x v="6"/>
    <s v="Louisiana Technical College-Young Memorial Campus"/>
    <n v="160913"/>
    <x v="13"/>
    <s v="sem"/>
    <s v="sem"/>
    <m/>
    <m/>
    <m/>
    <m/>
    <m/>
    <m/>
    <m/>
    <m/>
    <n v="0"/>
    <m/>
    <n v="0"/>
    <n v="0"/>
    <m/>
    <n v="0"/>
    <m/>
    <m/>
    <m/>
    <m/>
    <m/>
    <m/>
    <m/>
    <m/>
    <n v="0"/>
    <m/>
    <n v="0"/>
    <n v="0"/>
    <m/>
    <n v="0"/>
    <m/>
    <m/>
    <m/>
    <m/>
    <m/>
    <m/>
    <m/>
    <m/>
    <n v="0"/>
    <n v="0"/>
    <n v="0"/>
    <n v="0"/>
    <n v="0"/>
    <n v="0"/>
  </r>
  <r>
    <x v="7"/>
    <s v="University of Maryland College Park"/>
    <n v="163286"/>
    <x v="0"/>
    <s v="sem"/>
    <s v="sem"/>
    <n v="11065"/>
    <n v="12191"/>
    <n v="341195"/>
    <n v="355682"/>
    <n v="42267"/>
    <n v="39224"/>
    <n v="363850"/>
    <n v="371990"/>
    <n v="758377"/>
    <m/>
    <n v="25279.233333333334"/>
    <n v="779087"/>
    <m/>
    <n v="25969.566666666666"/>
    <m/>
    <m/>
    <m/>
    <m/>
    <m/>
    <m/>
    <m/>
    <m/>
    <n v="0"/>
    <m/>
    <n v="0"/>
    <n v="0"/>
    <m/>
    <n v="0"/>
    <n v="1547"/>
    <n v="2087"/>
    <n v="63529"/>
    <n v="65014"/>
    <n v="11590"/>
    <n v="10803"/>
    <n v="68961"/>
    <n v="71536"/>
    <n v="145627"/>
    <n v="6067.791666666667"/>
    <n v="149440"/>
    <n v="6226.666666666667"/>
    <n v="31347.025000000001"/>
    <n v="32196.233333333334"/>
  </r>
  <r>
    <x v="7"/>
    <s v="University of Maryland, Baltimore County"/>
    <n v="163268"/>
    <x v="1"/>
    <s v="sem"/>
    <s v="sem"/>
    <n v="4769"/>
    <n v="5131"/>
    <n v="119872"/>
    <n v="119669"/>
    <n v="15352"/>
    <n v="15657"/>
    <n v="128133"/>
    <n v="131840"/>
    <n v="268126"/>
    <m/>
    <n v="8937.5333333333328"/>
    <n v="272297"/>
    <m/>
    <n v="9076.5666666666675"/>
    <m/>
    <m/>
    <m/>
    <m/>
    <m/>
    <m/>
    <m/>
    <m/>
    <n v="0"/>
    <m/>
    <n v="0"/>
    <n v="0"/>
    <m/>
    <n v="0"/>
    <n v="278"/>
    <n v="222"/>
    <n v="11523"/>
    <n v="12275"/>
    <n v="2270"/>
    <n v="2307"/>
    <n v="13041"/>
    <n v="13983"/>
    <n v="27112"/>
    <n v="1129.6666666666667"/>
    <n v="28787"/>
    <n v="1199.4583333333333"/>
    <n v="10067.199999999999"/>
    <n v="10276.025000000001"/>
  </r>
  <r>
    <x v="7"/>
    <s v="Morgan State University"/>
    <n v="163453"/>
    <x v="2"/>
    <s v="sem"/>
    <s v="sem"/>
    <n v="1061"/>
    <n v="729"/>
    <n v="72605"/>
    <n v="76967"/>
    <n v="2386"/>
    <n v="3609"/>
    <n v="81734"/>
    <n v="82732"/>
    <n v="157786"/>
    <m/>
    <n v="5259.5333333333338"/>
    <n v="164037"/>
    <m/>
    <n v="5467.9"/>
    <m/>
    <m/>
    <m/>
    <m/>
    <m/>
    <m/>
    <m/>
    <m/>
    <n v="0"/>
    <m/>
    <n v="0"/>
    <n v="0"/>
    <m/>
    <n v="0"/>
    <n v="32"/>
    <n v="0"/>
    <n v="4786"/>
    <n v="6588"/>
    <n v="574"/>
    <n v="439"/>
    <n v="6475"/>
    <n v="6737"/>
    <n v="11867"/>
    <n v="494.45833333333331"/>
    <n v="13764"/>
    <n v="573.5"/>
    <n v="5753.9916666666668"/>
    <n v="6041.4"/>
  </r>
  <r>
    <x v="7"/>
    <s v="Towson University "/>
    <n v="164076"/>
    <x v="2"/>
    <s v="sem"/>
    <s v="sem"/>
    <n v="6061"/>
    <n v="6050"/>
    <n v="198975"/>
    <n v="208688"/>
    <n v="19297"/>
    <n v="21338"/>
    <n v="218413"/>
    <n v="236613"/>
    <n v="442746"/>
    <m/>
    <n v="14758.2"/>
    <n v="472689"/>
    <m/>
    <n v="15756.3"/>
    <m/>
    <m/>
    <m/>
    <m/>
    <m/>
    <m/>
    <m/>
    <m/>
    <n v="0"/>
    <m/>
    <n v="0"/>
    <n v="0"/>
    <m/>
    <n v="0"/>
    <n v="1073"/>
    <n v="1067"/>
    <n v="19976"/>
    <n v="21364"/>
    <n v="9692"/>
    <n v="10289"/>
    <n v="23390"/>
    <n v="23120"/>
    <n v="54131"/>
    <n v="2255.4583333333335"/>
    <n v="55840"/>
    <n v="2326.6666666666665"/>
    <n v="17013.658333333333"/>
    <n v="18082.966666666667"/>
  </r>
  <r>
    <x v="7"/>
    <s v="Bowie State University "/>
    <n v="162007"/>
    <x v="3"/>
    <s v="sem"/>
    <s v="sem"/>
    <n v="945"/>
    <n v="1179"/>
    <n v="50837"/>
    <n v="54115"/>
    <n v="3393"/>
    <n v="3456"/>
    <n v="57685"/>
    <n v="59724"/>
    <n v="112860"/>
    <m/>
    <n v="3762"/>
    <n v="118474"/>
    <m/>
    <n v="3949.1333333333332"/>
    <m/>
    <m/>
    <m/>
    <m/>
    <m/>
    <m/>
    <m/>
    <m/>
    <n v="0"/>
    <m/>
    <n v="0"/>
    <n v="0"/>
    <m/>
    <n v="0"/>
    <n v="482"/>
    <n v="268"/>
    <n v="7433"/>
    <n v="6722"/>
    <n v="1024"/>
    <n v="1744"/>
    <n v="6353"/>
    <n v="7130"/>
    <n v="15292"/>
    <n v="637.16666666666663"/>
    <n v="15864"/>
    <n v="661"/>
    <n v="4399.166666666667"/>
    <n v="4610.1333333333332"/>
  </r>
  <r>
    <x v="7"/>
    <s v="Coppin State University"/>
    <n v="162283"/>
    <x v="3"/>
    <s v="sem"/>
    <s v="sem"/>
    <n v="925"/>
    <n v="776"/>
    <n v="38397"/>
    <n v="37980"/>
    <n v="2262"/>
    <n v="2468"/>
    <n v="41549"/>
    <n v="43365"/>
    <n v="83133"/>
    <m/>
    <n v="2771.1"/>
    <n v="84589"/>
    <m/>
    <n v="2819.6333333333332"/>
    <m/>
    <m/>
    <m/>
    <m/>
    <m/>
    <m/>
    <m/>
    <m/>
    <n v="0"/>
    <m/>
    <n v="0"/>
    <n v="0"/>
    <m/>
    <n v="0"/>
    <n v="170"/>
    <n v="100"/>
    <n v="4134"/>
    <n v="4287"/>
    <n v="889"/>
    <n v="954"/>
    <n v="4118"/>
    <n v="4245"/>
    <n v="9311"/>
    <n v="387.95833333333331"/>
    <n v="9586"/>
    <n v="399.41666666666669"/>
    <n v="3159.0583333333334"/>
    <n v="3219.0499999999997"/>
  </r>
  <r>
    <x v="7"/>
    <s v="Frostburg State University "/>
    <n v="162584"/>
    <x v="3"/>
    <s v="sem"/>
    <s v="sem"/>
    <n v="1848"/>
    <n v="2214"/>
    <n v="55690"/>
    <n v="57137"/>
    <n v="3891"/>
    <n v="3855"/>
    <n v="60803"/>
    <n v="64173"/>
    <n v="122232"/>
    <m/>
    <n v="4074.4"/>
    <n v="127379"/>
    <m/>
    <n v="4245.9666666666662"/>
    <m/>
    <m/>
    <m/>
    <m/>
    <m/>
    <m/>
    <m/>
    <m/>
    <n v="0"/>
    <m/>
    <n v="0"/>
    <n v="0"/>
    <m/>
    <n v="0"/>
    <n v="426"/>
    <n v="486"/>
    <n v="3826"/>
    <n v="4090"/>
    <n v="2736"/>
    <n v="2270"/>
    <n v="3924"/>
    <n v="3872"/>
    <n v="10912"/>
    <n v="454.66666666666669"/>
    <n v="10718"/>
    <n v="446.58333333333331"/>
    <n v="4529.0666666666666"/>
    <n v="4692.5499999999993"/>
  </r>
  <r>
    <x v="7"/>
    <s v="Salisbury University "/>
    <n v="163851"/>
    <x v="3"/>
    <s v="sem"/>
    <s v="sem"/>
    <n v="5174"/>
    <n v="6033"/>
    <n v="92019"/>
    <n v="96080"/>
    <n v="5436"/>
    <n v="5909"/>
    <n v="98776"/>
    <n v="105255"/>
    <n v="201405"/>
    <m/>
    <n v="6713.5"/>
    <n v="213277"/>
    <m/>
    <n v="7109.2333333333336"/>
    <m/>
    <m/>
    <m/>
    <m/>
    <m/>
    <m/>
    <m/>
    <m/>
    <n v="0"/>
    <m/>
    <n v="0"/>
    <n v="0"/>
    <m/>
    <n v="0"/>
    <n v="185"/>
    <n v="269"/>
    <n v="3715"/>
    <n v="4029"/>
    <n v="1462"/>
    <n v="1293"/>
    <n v="3984"/>
    <n v="4058"/>
    <n v="9346"/>
    <n v="389.41666666666669"/>
    <n v="9649"/>
    <n v="402.04166666666669"/>
    <n v="7102.916666666667"/>
    <n v="7511.2750000000005"/>
  </r>
  <r>
    <x v="7"/>
    <s v="University of Baltimore"/>
    <n v="161873"/>
    <x v="3"/>
    <s v="sem"/>
    <s v="sem"/>
    <n v="0"/>
    <n v="0"/>
    <n v="20111"/>
    <n v="23227"/>
    <n v="3163"/>
    <n v="3913"/>
    <n v="24050"/>
    <n v="27459"/>
    <n v="47324"/>
    <m/>
    <n v="1577.4666666666667"/>
    <n v="54599"/>
    <m/>
    <n v="1819.9666666666667"/>
    <m/>
    <m/>
    <m/>
    <m/>
    <m/>
    <m/>
    <m/>
    <m/>
    <n v="0"/>
    <m/>
    <n v="0"/>
    <n v="0"/>
    <m/>
    <n v="0"/>
    <n v="0"/>
    <n v="0"/>
    <n v="23928"/>
    <n v="25281"/>
    <n v="4326"/>
    <n v="5038"/>
    <n v="26282"/>
    <n v="27026"/>
    <n v="54536"/>
    <n v="2272.3333333333335"/>
    <n v="57345"/>
    <n v="2389.375"/>
    <n v="3849.8"/>
    <n v="4209.3416666666672"/>
  </r>
  <r>
    <x v="7"/>
    <s v="University of Maryland Eastern Shore "/>
    <n v="163338"/>
    <x v="3"/>
    <s v="sem"/>
    <s v="sem"/>
    <n v="1176"/>
    <n v="972"/>
    <n v="46948"/>
    <n v="45460"/>
    <n v="2434"/>
    <n v="2659"/>
    <n v="51002"/>
    <n v="56323"/>
    <n v="101560"/>
    <m/>
    <n v="3385.3333333333335"/>
    <n v="105414"/>
    <m/>
    <n v="3513.8"/>
    <m/>
    <m/>
    <m/>
    <m/>
    <m/>
    <m/>
    <m/>
    <m/>
    <n v="0"/>
    <m/>
    <n v="0"/>
    <n v="0"/>
    <m/>
    <n v="0"/>
    <n v="153"/>
    <n v="153"/>
    <n v="2792"/>
    <n v="2571"/>
    <n v="800"/>
    <n v="1147"/>
    <n v="2820"/>
    <n v="3533"/>
    <n v="6565"/>
    <n v="273.54166666666669"/>
    <n v="7404"/>
    <n v="308.5"/>
    <n v="3658.875"/>
    <n v="3822.3"/>
  </r>
  <r>
    <x v="7"/>
    <s v="Saint Mary's College of Maryland"/>
    <n v="163912"/>
    <x v="5"/>
    <s v="sem"/>
    <s v="sem"/>
    <n v="0"/>
    <n v="0"/>
    <n v="28880"/>
    <n v="29724.55"/>
    <n v="1094"/>
    <n v="1343"/>
    <n v="30327"/>
    <n v="30866"/>
    <n v="60301"/>
    <m/>
    <n v="2010.0333333333333"/>
    <n v="61933.55"/>
    <m/>
    <n v="2064.4516666666668"/>
    <m/>
    <m/>
    <m/>
    <m/>
    <m/>
    <m/>
    <m/>
    <m/>
    <n v="0"/>
    <m/>
    <n v="0"/>
    <n v="0"/>
    <m/>
    <n v="0"/>
    <n v="0"/>
    <n v="0"/>
    <n v="120"/>
    <n v="408"/>
    <n v="125"/>
    <n v="318"/>
    <n v="379"/>
    <n v="556"/>
    <n v="624"/>
    <n v="26"/>
    <n v="1282"/>
    <n v="53.416666666666664"/>
    <n v="2036.0333333333333"/>
    <n v="2117.8683333333333"/>
  </r>
  <r>
    <x v="7"/>
    <s v="Anne Arundel Community College "/>
    <n v="161767"/>
    <x v="6"/>
    <s v="sem"/>
    <s v="sem"/>
    <n v="2337"/>
    <n v="2274"/>
    <n v="110542"/>
    <n v="114635"/>
    <n v="27000"/>
    <n v="27894"/>
    <n v="127590"/>
    <n v="131297"/>
    <n v="267469"/>
    <m/>
    <n v="8915.6333333333332"/>
    <n v="276100"/>
    <m/>
    <n v="9203.3333333333339"/>
    <m/>
    <m/>
    <m/>
    <m/>
    <m/>
    <m/>
    <m/>
    <m/>
    <n v="0"/>
    <m/>
    <n v="0"/>
    <n v="0"/>
    <m/>
    <n v="0"/>
    <n v="0"/>
    <m/>
    <n v="0"/>
    <m/>
    <n v="0"/>
    <m/>
    <n v="0"/>
    <m/>
    <n v="0"/>
    <n v="0"/>
    <n v="0"/>
    <n v="0"/>
    <n v="8915.6333333333332"/>
    <n v="9203.3333333333339"/>
  </r>
  <r>
    <x v="7"/>
    <s v="Community College of Baltimore County (all campuses)"/>
    <n v="434672"/>
    <x v="6"/>
    <s v="sem"/>
    <s v="sem"/>
    <n v="6330"/>
    <n v="7204.5"/>
    <n v="151955"/>
    <n v="151390.5"/>
    <n v="28856"/>
    <n v="37577"/>
    <n v="160050"/>
    <n v="174835.5"/>
    <n v="347191"/>
    <m/>
    <n v="11573.033333333333"/>
    <n v="371007.5"/>
    <m/>
    <n v="12366.916666666666"/>
    <m/>
    <m/>
    <m/>
    <m/>
    <m/>
    <m/>
    <m/>
    <m/>
    <n v="0"/>
    <m/>
    <n v="0"/>
    <n v="0"/>
    <m/>
    <n v="0"/>
    <n v="0"/>
    <m/>
    <n v="0"/>
    <m/>
    <n v="0"/>
    <m/>
    <n v="0"/>
    <m/>
    <n v="0"/>
    <n v="0"/>
    <n v="0"/>
    <n v="0"/>
    <n v="11573.033333333333"/>
    <n v="12366.916666666666"/>
  </r>
  <r>
    <x v="7"/>
    <s v="Montgomery College (all campuses)"/>
    <n v="163426"/>
    <x v="6"/>
    <s v="sem"/>
    <s v="sem"/>
    <n v="0"/>
    <n v="2379"/>
    <n v="166738"/>
    <n v="233700"/>
    <n v="48120"/>
    <n v="78456"/>
    <n v="184683"/>
    <n v="255761"/>
    <n v="399541"/>
    <m/>
    <n v="13318.033333333333"/>
    <n v="570296"/>
    <m/>
    <n v="19009.866666666665"/>
    <m/>
    <m/>
    <m/>
    <m/>
    <m/>
    <m/>
    <m/>
    <m/>
    <n v="0"/>
    <m/>
    <n v="0"/>
    <n v="0"/>
    <m/>
    <n v="0"/>
    <n v="0"/>
    <m/>
    <n v="0"/>
    <m/>
    <n v="0"/>
    <m/>
    <n v="0"/>
    <m/>
    <n v="0"/>
    <n v="0"/>
    <n v="0"/>
    <n v="0"/>
    <n v="13318.033333333333"/>
    <n v="19009.866666666665"/>
  </r>
  <r>
    <x v="7"/>
    <s v="Prince George's Community College "/>
    <n v="163657"/>
    <x v="6"/>
    <s v="sem"/>
    <s v="sem"/>
    <n v="0"/>
    <n v="0"/>
    <n v="90527"/>
    <n v="90676"/>
    <n v="24754"/>
    <n v="24846"/>
    <n v="95192"/>
    <n v="95960"/>
    <n v="210473"/>
    <m/>
    <n v="7015.7666666666664"/>
    <n v="211482"/>
    <m/>
    <n v="7049.4"/>
    <m/>
    <m/>
    <m/>
    <m/>
    <m/>
    <m/>
    <m/>
    <m/>
    <n v="0"/>
    <m/>
    <n v="0"/>
    <n v="0"/>
    <m/>
    <n v="0"/>
    <n v="0"/>
    <m/>
    <n v="0"/>
    <m/>
    <n v="0"/>
    <m/>
    <n v="0"/>
    <m/>
    <n v="0"/>
    <n v="0"/>
    <n v="0"/>
    <n v="0"/>
    <n v="7015.7666666666664"/>
    <n v="7049.4"/>
  </r>
  <r>
    <x v="7"/>
    <s v="Allegany College of Maryland"/>
    <n v="161688"/>
    <x v="7"/>
    <s v="sem"/>
    <s v="sem"/>
    <n v="0"/>
    <n v="0"/>
    <n v="31628"/>
    <n v="32391"/>
    <n v="3965"/>
    <n v="3957"/>
    <n v="36148"/>
    <n v="37755"/>
    <n v="71741"/>
    <m/>
    <n v="2391.3666666666668"/>
    <n v="74103"/>
    <m/>
    <n v="2470.1"/>
    <m/>
    <m/>
    <m/>
    <m/>
    <m/>
    <m/>
    <m/>
    <m/>
    <n v="0"/>
    <m/>
    <n v="0"/>
    <n v="0"/>
    <m/>
    <n v="0"/>
    <n v="0"/>
    <m/>
    <n v="0"/>
    <m/>
    <n v="0"/>
    <m/>
    <n v="0"/>
    <m/>
    <n v="0"/>
    <n v="0"/>
    <n v="0"/>
    <n v="0"/>
    <n v="2391.3666666666668"/>
    <n v="2470.1"/>
  </r>
  <r>
    <x v="7"/>
    <s v="Baltimore City Community College"/>
    <n v="161864"/>
    <x v="7"/>
    <s v="sem"/>
    <s v="sem"/>
    <n v="1261"/>
    <n v="1969"/>
    <n v="63468"/>
    <n v="63348"/>
    <n v="11604"/>
    <n v="13124"/>
    <n v="63452"/>
    <n v="67594"/>
    <n v="139785"/>
    <m/>
    <n v="4659.5"/>
    <n v="146035"/>
    <m/>
    <n v="4867.833333333333"/>
    <m/>
    <m/>
    <m/>
    <m/>
    <m/>
    <m/>
    <m/>
    <m/>
    <n v="0"/>
    <m/>
    <n v="0"/>
    <n v="0"/>
    <m/>
    <n v="0"/>
    <n v="0"/>
    <m/>
    <n v="0"/>
    <m/>
    <n v="0"/>
    <m/>
    <n v="0"/>
    <m/>
    <n v="0"/>
    <n v="0"/>
    <n v="0"/>
    <n v="0"/>
    <n v="4659.5"/>
    <n v="4867.833333333333"/>
  </r>
  <r>
    <x v="7"/>
    <s v="College of Southern Maryland"/>
    <n v="162122"/>
    <x v="7"/>
    <s v="sem"/>
    <s v="sem"/>
    <n v="939"/>
    <n v="966"/>
    <n v="53685"/>
    <n v="58370"/>
    <n v="10800"/>
    <n v="11624"/>
    <n v="66733"/>
    <n v="71463"/>
    <n v="132157"/>
    <m/>
    <n v="4405.2333333333336"/>
    <n v="142423"/>
    <m/>
    <n v="4747.4333333333334"/>
    <m/>
    <m/>
    <m/>
    <m/>
    <m/>
    <m/>
    <m/>
    <m/>
    <n v="0"/>
    <m/>
    <n v="0"/>
    <n v="0"/>
    <m/>
    <n v="0"/>
    <n v="0"/>
    <m/>
    <n v="0"/>
    <m/>
    <n v="0"/>
    <m/>
    <n v="0"/>
    <m/>
    <n v="0"/>
    <n v="0"/>
    <n v="0"/>
    <n v="0"/>
    <n v="4405.2333333333336"/>
    <n v="4747.4333333333334"/>
  </r>
  <r>
    <x v="7"/>
    <s v="Frederick Community College "/>
    <n v="162557"/>
    <x v="7"/>
    <s v="sem"/>
    <s v="sem"/>
    <n v="1856"/>
    <n v="1873"/>
    <n v="39317"/>
    <n v="43091"/>
    <n v="11977"/>
    <n v="9320"/>
    <n v="40629"/>
    <n v="43334"/>
    <n v="93779"/>
    <m/>
    <n v="3125.9666666666667"/>
    <n v="97618"/>
    <m/>
    <n v="3253.9333333333334"/>
    <m/>
    <m/>
    <m/>
    <m/>
    <m/>
    <m/>
    <m/>
    <m/>
    <n v="0"/>
    <m/>
    <n v="0"/>
    <n v="0"/>
    <m/>
    <n v="0"/>
    <n v="0"/>
    <m/>
    <n v="0"/>
    <m/>
    <n v="0"/>
    <m/>
    <n v="0"/>
    <m/>
    <n v="0"/>
    <n v="0"/>
    <n v="0"/>
    <n v="0"/>
    <n v="3125.9666666666667"/>
    <n v="3253.9333333333334"/>
  </r>
  <r>
    <x v="7"/>
    <s v="Hagerstown Community College "/>
    <n v="162690"/>
    <x v="7"/>
    <s v="sem"/>
    <s v="sem"/>
    <n v="0"/>
    <n v="0"/>
    <n v="29540"/>
    <n v="31106"/>
    <n v="7282"/>
    <n v="8077"/>
    <n v="33114"/>
    <n v="35963"/>
    <n v="69936"/>
    <m/>
    <n v="2331.1999999999998"/>
    <n v="75146"/>
    <m/>
    <n v="2504.8666666666668"/>
    <m/>
    <m/>
    <m/>
    <m/>
    <m/>
    <m/>
    <m/>
    <m/>
    <n v="0"/>
    <m/>
    <n v="0"/>
    <n v="0"/>
    <m/>
    <n v="0"/>
    <n v="0"/>
    <m/>
    <n v="0"/>
    <m/>
    <n v="0"/>
    <m/>
    <n v="0"/>
    <m/>
    <n v="0"/>
    <n v="0"/>
    <n v="0"/>
    <n v="0"/>
    <n v="2331.1999999999998"/>
    <n v="2504.8666666666668"/>
  </r>
  <r>
    <x v="7"/>
    <s v="Harford Community College "/>
    <n v="162706"/>
    <x v="7"/>
    <s v="sem"/>
    <s v="sem"/>
    <n v="0"/>
    <n v="0"/>
    <n v="44698"/>
    <n v="47134"/>
    <n v="8669"/>
    <n v="9359"/>
    <n v="53393"/>
    <n v="61178"/>
    <n v="106760"/>
    <m/>
    <n v="3558.6666666666665"/>
    <n v="117671"/>
    <m/>
    <n v="3922.3666666666668"/>
    <m/>
    <m/>
    <m/>
    <m/>
    <m/>
    <m/>
    <m/>
    <m/>
    <n v="0"/>
    <m/>
    <n v="0"/>
    <n v="0"/>
    <m/>
    <n v="0"/>
    <n v="0"/>
    <m/>
    <n v="0"/>
    <m/>
    <n v="0"/>
    <m/>
    <n v="0"/>
    <m/>
    <n v="0"/>
    <n v="0"/>
    <n v="0"/>
    <n v="0"/>
    <n v="3558.6666666666665"/>
    <n v="3922.3666666666668"/>
  </r>
  <r>
    <x v="7"/>
    <s v="Howard Community College "/>
    <n v="162779"/>
    <x v="7"/>
    <s v="sem"/>
    <s v="sem"/>
    <n v="3995"/>
    <n v="4048"/>
    <n v="55579"/>
    <n v="58216"/>
    <n v="12882"/>
    <n v="13313"/>
    <n v="64597"/>
    <n v="68759"/>
    <n v="137053"/>
    <m/>
    <n v="4568.4333333333334"/>
    <n v="144336"/>
    <m/>
    <n v="4811.2"/>
    <m/>
    <m/>
    <m/>
    <m/>
    <m/>
    <m/>
    <m/>
    <m/>
    <n v="0"/>
    <m/>
    <n v="0"/>
    <n v="0"/>
    <m/>
    <n v="0"/>
    <n v="0"/>
    <m/>
    <n v="0"/>
    <m/>
    <n v="0"/>
    <m/>
    <n v="0"/>
    <m/>
    <n v="0"/>
    <n v="0"/>
    <n v="0"/>
    <n v="0"/>
    <n v="4568.4333333333334"/>
    <n v="4811.2"/>
  </r>
  <r>
    <x v="7"/>
    <s v="Carroll Community College"/>
    <n v="405872"/>
    <x v="8"/>
    <s v="sem"/>
    <s v="sem"/>
    <n v="980"/>
    <n v="1486"/>
    <n v="24615"/>
    <n v="29581"/>
    <n v="4538"/>
    <n v="5659"/>
    <n v="27202"/>
    <n v="32916"/>
    <n v="57335"/>
    <m/>
    <n v="1911.1666666666667"/>
    <n v="69642"/>
    <m/>
    <n v="2321.4"/>
    <m/>
    <m/>
    <m/>
    <m/>
    <m/>
    <m/>
    <m/>
    <m/>
    <n v="0"/>
    <m/>
    <n v="0"/>
    <n v="0"/>
    <m/>
    <n v="0"/>
    <n v="0"/>
    <m/>
    <n v="0"/>
    <m/>
    <n v="0"/>
    <m/>
    <n v="0"/>
    <m/>
    <n v="0"/>
    <n v="0"/>
    <n v="0"/>
    <n v="0"/>
    <n v="1911.1666666666667"/>
    <n v="2321.4"/>
  </r>
  <r>
    <x v="7"/>
    <s v="Cecil Community College "/>
    <n v="162104"/>
    <x v="8"/>
    <s v="sem"/>
    <s v="sem"/>
    <n v="0"/>
    <n v="0"/>
    <n v="16385"/>
    <n v="17758"/>
    <n v="3312"/>
    <n v="3332"/>
    <n v="19585"/>
    <n v="21604"/>
    <n v="39282"/>
    <m/>
    <n v="1309.4000000000001"/>
    <n v="42694"/>
    <m/>
    <n v="1423.1333333333334"/>
    <m/>
    <m/>
    <m/>
    <m/>
    <m/>
    <m/>
    <m/>
    <m/>
    <n v="0"/>
    <m/>
    <n v="0"/>
    <n v="0"/>
    <m/>
    <n v="0"/>
    <n v="0"/>
    <m/>
    <n v="0"/>
    <m/>
    <n v="0"/>
    <m/>
    <n v="0"/>
    <m/>
    <n v="0"/>
    <n v="0"/>
    <n v="0"/>
    <n v="0"/>
    <n v="1309.4000000000001"/>
    <n v="1423.1333333333334"/>
  </r>
  <r>
    <x v="7"/>
    <s v="Chesapeake College "/>
    <n v="162168"/>
    <x v="8"/>
    <s v="sem"/>
    <s v="sem"/>
    <n v="187"/>
    <n v="142"/>
    <n v="18901"/>
    <n v="19939"/>
    <n v="2310"/>
    <n v="2553"/>
    <n v="21787"/>
    <n v="22567"/>
    <n v="43185"/>
    <m/>
    <n v="1439.5"/>
    <n v="45201"/>
    <m/>
    <n v="1506.7"/>
    <m/>
    <m/>
    <m/>
    <m/>
    <m/>
    <m/>
    <m/>
    <m/>
    <n v="0"/>
    <m/>
    <n v="0"/>
    <n v="0"/>
    <m/>
    <n v="0"/>
    <n v="0"/>
    <m/>
    <n v="0"/>
    <m/>
    <n v="0"/>
    <m/>
    <n v="0"/>
    <m/>
    <n v="0"/>
    <n v="0"/>
    <n v="0"/>
    <n v="0"/>
    <n v="1439.5"/>
    <n v="1506.7"/>
  </r>
  <r>
    <x v="7"/>
    <s v="Garrett College "/>
    <n v="162609"/>
    <x v="8"/>
    <s v="sem"/>
    <s v="sem"/>
    <n v="225"/>
    <n v="144"/>
    <n v="7974"/>
    <n v="8480.75"/>
    <n v="629"/>
    <n v="567"/>
    <n v="9105"/>
    <n v="9561.75"/>
    <n v="17933"/>
    <m/>
    <n v="597.76666666666665"/>
    <n v="18753.5"/>
    <m/>
    <n v="625.11666666666667"/>
    <m/>
    <m/>
    <m/>
    <m/>
    <m/>
    <m/>
    <m/>
    <m/>
    <n v="0"/>
    <m/>
    <n v="0"/>
    <n v="0"/>
    <m/>
    <n v="0"/>
    <n v="0"/>
    <m/>
    <n v="0"/>
    <m/>
    <n v="0"/>
    <m/>
    <n v="0"/>
    <m/>
    <n v="0"/>
    <n v="0"/>
    <n v="0"/>
    <n v="0"/>
    <n v="597.76666666666665"/>
    <n v="625.11666666666667"/>
  </r>
  <r>
    <x v="7"/>
    <s v="Wor-Wic Community College "/>
    <n v="164313"/>
    <x v="8"/>
    <s v="sem"/>
    <s v="sem"/>
    <n v="0"/>
    <n v="0"/>
    <n v="23765"/>
    <n v="26286"/>
    <n v="6774"/>
    <n v="7405"/>
    <n v="28931"/>
    <n v="32298"/>
    <n v="59470"/>
    <m/>
    <n v="1982.3333333333333"/>
    <n v="65989"/>
    <m/>
    <n v="2199.6333333333332"/>
    <m/>
    <m/>
    <m/>
    <m/>
    <m/>
    <m/>
    <m/>
    <m/>
    <n v="0"/>
    <m/>
    <n v="0"/>
    <n v="0"/>
    <m/>
    <n v="0"/>
    <n v="0"/>
    <m/>
    <n v="0"/>
    <m/>
    <n v="0"/>
    <m/>
    <n v="0"/>
    <m/>
    <n v="0"/>
    <n v="0"/>
    <n v="0"/>
    <n v="0"/>
    <n v="1982.3333333333333"/>
    <n v="2199.6333333333332"/>
  </r>
  <r>
    <x v="8"/>
    <s v="Mississippi State University"/>
    <n v="176080"/>
    <x v="0"/>
    <s v="sem"/>
    <s v="sem"/>
    <m/>
    <m/>
    <n v="151180"/>
    <n v="158091"/>
    <n v="37241"/>
    <n v="35135"/>
    <n v="170980"/>
    <n v="182510"/>
    <n v="359401"/>
    <m/>
    <n v="11980.033333333333"/>
    <n v="375736"/>
    <m/>
    <n v="12524.533333333333"/>
    <m/>
    <m/>
    <m/>
    <m/>
    <m/>
    <m/>
    <m/>
    <m/>
    <n v="0"/>
    <m/>
    <n v="0"/>
    <n v="0"/>
    <m/>
    <n v="0"/>
    <m/>
    <m/>
    <n v="22453"/>
    <n v="22695"/>
    <n v="12840"/>
    <n v="12324"/>
    <n v="23695"/>
    <n v="23540"/>
    <n v="58988"/>
    <n v="2457.8333333333335"/>
    <n v="58559"/>
    <n v="2439.9583333333335"/>
    <n v="14437.866666666667"/>
    <n v="14964.491666666667"/>
  </r>
  <r>
    <x v="8"/>
    <s v="University of Southern Mississippi"/>
    <n v="176372"/>
    <x v="0"/>
    <s v="sem"/>
    <s v="sem"/>
    <m/>
    <m/>
    <n v="136026"/>
    <n v="134464"/>
    <n v="33951"/>
    <n v="33946.5"/>
    <n v="148165"/>
    <n v="152048"/>
    <n v="318142"/>
    <m/>
    <n v="10604.733333333334"/>
    <n v="320458.5"/>
    <m/>
    <n v="10681.95"/>
    <m/>
    <m/>
    <m/>
    <m/>
    <m/>
    <m/>
    <m/>
    <m/>
    <n v="0"/>
    <m/>
    <n v="0"/>
    <n v="0"/>
    <m/>
    <n v="0"/>
    <m/>
    <m/>
    <n v="20265"/>
    <n v="21072"/>
    <n v="15519"/>
    <n v="15700"/>
    <n v="21083"/>
    <n v="21617"/>
    <n v="56867"/>
    <n v="2369.4583333333335"/>
    <n v="58389"/>
    <n v="2432.875"/>
    <n v="12974.191666666668"/>
    <n v="13114.825000000001"/>
  </r>
  <r>
    <x v="8"/>
    <s v="Jackson State University "/>
    <n v="175856"/>
    <x v="1"/>
    <s v="sem"/>
    <s v="sem"/>
    <m/>
    <m/>
    <n v="73492"/>
    <n v="71703.5"/>
    <n v="14864"/>
    <n v="11963"/>
    <n v="78858"/>
    <n v="72762.5"/>
    <n v="167214"/>
    <m/>
    <n v="5573.8"/>
    <n v="156429"/>
    <m/>
    <n v="5214.3"/>
    <m/>
    <m/>
    <m/>
    <m/>
    <m/>
    <m/>
    <m/>
    <m/>
    <n v="0"/>
    <m/>
    <n v="0"/>
    <n v="0"/>
    <m/>
    <n v="0"/>
    <m/>
    <m/>
    <n v="11765"/>
    <n v="11581.5"/>
    <n v="5569"/>
    <n v="5162"/>
    <n v="12060"/>
    <n v="11278.5"/>
    <n v="29394"/>
    <n v="1224.75"/>
    <n v="28022"/>
    <n v="1167.5833333333333"/>
    <n v="6798.55"/>
    <n v="6381.8833333333332"/>
  </r>
  <r>
    <x v="8"/>
    <s v="University of Mississippi"/>
    <n v="176017"/>
    <x v="1"/>
    <s v="sem"/>
    <s v="sem"/>
    <m/>
    <m/>
    <n v="161279"/>
    <n v="162147"/>
    <n v="42621"/>
    <n v="41185"/>
    <n v="163899"/>
    <n v="165340"/>
    <n v="367799"/>
    <m/>
    <n v="12259.966666666667"/>
    <n v="368672"/>
    <m/>
    <n v="12289.066666666668"/>
    <m/>
    <m/>
    <m/>
    <m/>
    <m/>
    <m/>
    <m/>
    <m/>
    <n v="0"/>
    <m/>
    <n v="0"/>
    <n v="0"/>
    <m/>
    <n v="0"/>
    <m/>
    <m/>
    <n v="25210"/>
    <n v="23415"/>
    <n v="7363"/>
    <n v="7421"/>
    <n v="24471"/>
    <n v="24195"/>
    <n v="57044"/>
    <n v="2376.8333333333335"/>
    <n v="55031"/>
    <n v="2292.9583333333335"/>
    <n v="14636.800000000001"/>
    <n v="14582.025000000001"/>
  </r>
  <r>
    <x v="8"/>
    <s v="Alcorn State University"/>
    <n v="175342"/>
    <x v="3"/>
    <s v="sem"/>
    <s v="sem"/>
    <m/>
    <m/>
    <n v="36825"/>
    <n v="34331"/>
    <n v="8772"/>
    <n v="8043"/>
    <n v="37824"/>
    <n v="35545"/>
    <n v="83421"/>
    <m/>
    <n v="2780.7"/>
    <n v="77919"/>
    <m/>
    <n v="2597.3000000000002"/>
    <m/>
    <m/>
    <m/>
    <m/>
    <m/>
    <m/>
    <m/>
    <m/>
    <n v="0"/>
    <m/>
    <n v="0"/>
    <n v="0"/>
    <m/>
    <n v="0"/>
    <m/>
    <m/>
    <n v="3637"/>
    <n v="4231"/>
    <n v="3123"/>
    <n v="2851"/>
    <n v="4146"/>
    <n v="4201"/>
    <n v="10906"/>
    <n v="454.41666666666669"/>
    <n v="11283"/>
    <n v="470.125"/>
    <n v="3235.1166666666663"/>
    <n v="3067.4250000000002"/>
  </r>
  <r>
    <x v="8"/>
    <s v="Delta State University"/>
    <n v="175616"/>
    <x v="3"/>
    <s v="sem"/>
    <s v="sem"/>
    <m/>
    <m/>
    <n v="38665"/>
    <n v="36647"/>
    <n v="6665"/>
    <n v="5842"/>
    <n v="40304"/>
    <n v="39349"/>
    <n v="85634"/>
    <m/>
    <n v="2854.4666666666667"/>
    <n v="81838"/>
    <m/>
    <n v="2727.9333333333334"/>
    <m/>
    <m/>
    <m/>
    <m/>
    <m/>
    <m/>
    <m/>
    <m/>
    <n v="0"/>
    <m/>
    <n v="0"/>
    <n v="0"/>
    <m/>
    <n v="0"/>
    <m/>
    <m/>
    <n v="4424"/>
    <n v="4626"/>
    <n v="3568"/>
    <n v="3283"/>
    <n v="4588"/>
    <n v="4908"/>
    <n v="12580"/>
    <n v="524.16666666666663"/>
    <n v="12817"/>
    <n v="534.04166666666663"/>
    <n v="3378.6333333333332"/>
    <n v="3261.9749999999999"/>
  </r>
  <r>
    <x v="8"/>
    <s v="Mississippi University for Women"/>
    <n v="176035"/>
    <x v="4"/>
    <s v="sem"/>
    <s v="sem"/>
    <m/>
    <m/>
    <n v="25682"/>
    <n v="24319"/>
    <n v="5368"/>
    <n v="5075"/>
    <n v="26129"/>
    <n v="26112"/>
    <n v="57179"/>
    <m/>
    <n v="1905.9666666666667"/>
    <n v="55506"/>
    <m/>
    <n v="1850.2"/>
    <m/>
    <m/>
    <m/>
    <m/>
    <m/>
    <m/>
    <m/>
    <m/>
    <n v="0"/>
    <m/>
    <n v="0"/>
    <n v="0"/>
    <m/>
    <n v="0"/>
    <m/>
    <m/>
    <n v="1084"/>
    <n v="825"/>
    <n v="1047"/>
    <n v="1093"/>
    <n v="1116"/>
    <n v="1177"/>
    <n v="3247"/>
    <n v="135.29166666666666"/>
    <n v="3095"/>
    <n v="128.95833333333334"/>
    <n v="2041.2583333333334"/>
    <n v="1979.1583333333333"/>
  </r>
  <r>
    <x v="8"/>
    <s v="Mississippi Valley State University"/>
    <n v="176044"/>
    <x v="4"/>
    <s v="sem"/>
    <s v="sem"/>
    <m/>
    <m/>
    <n v="32867"/>
    <n v="31044"/>
    <n v="8833"/>
    <n v="6790"/>
    <n v="34294"/>
    <n v="32580"/>
    <n v="75994"/>
    <m/>
    <n v="2533.1333333333332"/>
    <n v="70414"/>
    <m/>
    <n v="2347.1333333333332"/>
    <m/>
    <m/>
    <m/>
    <m/>
    <m/>
    <m/>
    <m/>
    <m/>
    <n v="0"/>
    <m/>
    <n v="0"/>
    <n v="0"/>
    <m/>
    <n v="0"/>
    <m/>
    <m/>
    <n v="3013"/>
    <n v="2604"/>
    <n v="2131"/>
    <n v="1536"/>
    <n v="2705"/>
    <n v="2613"/>
    <n v="7849"/>
    <n v="327.04166666666669"/>
    <n v="6753"/>
    <n v="281.375"/>
    <n v="2860.1749999999997"/>
    <n v="2628.5083333333332"/>
  </r>
  <r>
    <x v="8"/>
    <s v="Hinds Community College "/>
    <n v="175786"/>
    <x v="6"/>
    <s v="sem"/>
    <s v="sem"/>
    <m/>
    <m/>
    <n v="106638"/>
    <n v="106140"/>
    <n v="21543"/>
    <n v="20865"/>
    <n v="120442"/>
    <n v="125632"/>
    <n v="248623"/>
    <m/>
    <n v="8287.4333333333325"/>
    <n v="252637"/>
    <n v="1757"/>
    <n v="8421.2333333333336"/>
    <m/>
    <m/>
    <m/>
    <m/>
    <m/>
    <m/>
    <m/>
    <m/>
    <n v="0"/>
    <m/>
    <n v="0"/>
    <n v="0"/>
    <m/>
    <n v="0"/>
    <m/>
    <m/>
    <m/>
    <m/>
    <m/>
    <m/>
    <m/>
    <m/>
    <n v="0"/>
    <n v="0"/>
    <n v="0"/>
    <n v="0"/>
    <n v="8287.4333333333325"/>
    <n v="8421.2333333333336"/>
  </r>
  <r>
    <x v="8"/>
    <s v="Mississippi Gulf Coast Community College "/>
    <n v="176071"/>
    <x v="6"/>
    <s v="sem"/>
    <s v="sem"/>
    <m/>
    <m/>
    <n v="87215"/>
    <n v="91265"/>
    <n v="21688"/>
    <n v="23590"/>
    <n v="98842"/>
    <n v="102962"/>
    <n v="207745"/>
    <m/>
    <n v="6924.833333333333"/>
    <n v="217817"/>
    <n v="2179"/>
    <n v="7260.5666666666666"/>
    <m/>
    <m/>
    <m/>
    <m/>
    <m/>
    <m/>
    <m/>
    <m/>
    <n v="0"/>
    <m/>
    <n v="0"/>
    <n v="0"/>
    <m/>
    <n v="0"/>
    <m/>
    <m/>
    <m/>
    <m/>
    <m/>
    <m/>
    <m/>
    <m/>
    <n v="0"/>
    <n v="0"/>
    <n v="0"/>
    <n v="0"/>
    <n v="6924.833333333333"/>
    <n v="7260.5666666666666"/>
  </r>
  <r>
    <x v="8"/>
    <s v="Northwest Mississippi Community College "/>
    <n v="176178"/>
    <x v="6"/>
    <s v="sem"/>
    <s v="sem"/>
    <m/>
    <m/>
    <n v="67560"/>
    <n v="72133"/>
    <n v="12648"/>
    <n v="14665"/>
    <n v="77809"/>
    <n v="83032"/>
    <n v="158017"/>
    <m/>
    <n v="5267.2333333333336"/>
    <n v="169830"/>
    <n v="1179"/>
    <n v="5661"/>
    <m/>
    <m/>
    <m/>
    <m/>
    <m/>
    <m/>
    <m/>
    <m/>
    <n v="0"/>
    <m/>
    <n v="0"/>
    <n v="0"/>
    <m/>
    <n v="0"/>
    <m/>
    <m/>
    <m/>
    <m/>
    <m/>
    <m/>
    <m/>
    <m/>
    <n v="0"/>
    <n v="0"/>
    <n v="0"/>
    <n v="0"/>
    <n v="5267.2333333333336"/>
    <n v="5661"/>
  </r>
  <r>
    <x v="8"/>
    <s v="Copiah-Lincoln Community College "/>
    <n v="175573"/>
    <x v="7"/>
    <s v="sem"/>
    <s v="sem"/>
    <m/>
    <m/>
    <n v="37674"/>
    <n v="38010"/>
    <n v="6052"/>
    <n v="6345"/>
    <n v="41675"/>
    <n v="41550"/>
    <n v="85401"/>
    <m/>
    <n v="2846.7"/>
    <n v="85905"/>
    <n v="1601"/>
    <n v="2863.5"/>
    <m/>
    <m/>
    <m/>
    <m/>
    <m/>
    <m/>
    <m/>
    <m/>
    <n v="0"/>
    <m/>
    <n v="0"/>
    <n v="0"/>
    <m/>
    <n v="0"/>
    <m/>
    <m/>
    <m/>
    <m/>
    <m/>
    <m/>
    <m/>
    <m/>
    <n v="0"/>
    <n v="0"/>
    <n v="0"/>
    <n v="0"/>
    <n v="2846.7"/>
    <n v="2863.5"/>
  </r>
  <r>
    <x v="8"/>
    <s v="East Central Community College "/>
    <n v="175643"/>
    <x v="7"/>
    <s v="sem"/>
    <s v="sem"/>
    <m/>
    <m/>
    <n v="25675"/>
    <n v="26910"/>
    <n v="4889"/>
    <n v="5223"/>
    <n v="29308"/>
    <n v="30342"/>
    <n v="59872"/>
    <m/>
    <n v="1995.7333333333333"/>
    <n v="62475"/>
    <n v="374"/>
    <n v="2082.5"/>
    <m/>
    <m/>
    <m/>
    <m/>
    <m/>
    <m/>
    <m/>
    <m/>
    <n v="0"/>
    <m/>
    <n v="0"/>
    <n v="0"/>
    <m/>
    <n v="0"/>
    <m/>
    <m/>
    <m/>
    <m/>
    <m/>
    <m/>
    <m/>
    <m/>
    <n v="0"/>
    <n v="0"/>
    <n v="0"/>
    <n v="0"/>
    <n v="1995.7333333333333"/>
    <n v="2082.5"/>
  </r>
  <r>
    <x v="8"/>
    <s v="East Mississippi Community College "/>
    <n v="175652"/>
    <x v="7"/>
    <s v="sem"/>
    <s v="sem"/>
    <m/>
    <m/>
    <n v="41466"/>
    <n v="42674"/>
    <n v="11963"/>
    <n v="11498"/>
    <n v="45437"/>
    <n v="48077"/>
    <n v="98866"/>
    <m/>
    <n v="3295.5333333333333"/>
    <n v="102249"/>
    <n v="20"/>
    <n v="3408.3"/>
    <m/>
    <m/>
    <m/>
    <m/>
    <m/>
    <m/>
    <m/>
    <m/>
    <n v="0"/>
    <m/>
    <n v="0"/>
    <n v="0"/>
    <m/>
    <n v="0"/>
    <m/>
    <m/>
    <m/>
    <m/>
    <m/>
    <m/>
    <m/>
    <m/>
    <n v="0"/>
    <n v="0"/>
    <n v="0"/>
    <n v="0"/>
    <n v="3295.5333333333333"/>
    <n v="3408.3"/>
  </r>
  <r>
    <x v="8"/>
    <s v="Holmes Community College "/>
    <n v="175810"/>
    <x v="7"/>
    <s v="sem"/>
    <s v="sem"/>
    <m/>
    <m/>
    <n v="54373"/>
    <n v="51538"/>
    <n v="15274"/>
    <n v="14496"/>
    <n v="59848"/>
    <n v="59537"/>
    <n v="129495"/>
    <m/>
    <n v="4316.5"/>
    <n v="125571"/>
    <n v="870"/>
    <n v="4185.7"/>
    <m/>
    <m/>
    <m/>
    <m/>
    <m/>
    <m/>
    <m/>
    <m/>
    <n v="0"/>
    <m/>
    <n v="0"/>
    <n v="0"/>
    <m/>
    <n v="0"/>
    <m/>
    <m/>
    <m/>
    <m/>
    <m/>
    <m/>
    <m/>
    <m/>
    <n v="0"/>
    <n v="0"/>
    <n v="0"/>
    <n v="0"/>
    <n v="4316.5"/>
    <n v="4185.7"/>
  </r>
  <r>
    <x v="8"/>
    <s v="Itawamba Community College "/>
    <n v="175829"/>
    <x v="7"/>
    <s v="sem"/>
    <s v="sem"/>
    <m/>
    <m/>
    <n v="60954"/>
    <n v="71257"/>
    <n v="12290"/>
    <n v="14468"/>
    <n v="71337"/>
    <n v="85619"/>
    <n v="144581"/>
    <m/>
    <n v="4819.3666666666668"/>
    <n v="171344"/>
    <n v="701"/>
    <n v="5711.4666666666662"/>
    <m/>
    <m/>
    <m/>
    <m/>
    <m/>
    <m/>
    <m/>
    <m/>
    <n v="0"/>
    <m/>
    <n v="0"/>
    <n v="0"/>
    <m/>
    <n v="0"/>
    <m/>
    <m/>
    <m/>
    <m/>
    <m/>
    <m/>
    <m/>
    <m/>
    <n v="0"/>
    <n v="0"/>
    <n v="0"/>
    <n v="0"/>
    <n v="4819.3666666666668"/>
    <n v="5711.4666666666662"/>
  </r>
  <r>
    <x v="8"/>
    <s v="Jones County Junior College "/>
    <n v="175883"/>
    <x v="7"/>
    <s v="sem"/>
    <s v="sem"/>
    <m/>
    <m/>
    <n v="50744"/>
    <n v="51229"/>
    <n v="12504"/>
    <n v="13668"/>
    <n v="58895"/>
    <n v="61015"/>
    <n v="122143"/>
    <m/>
    <n v="4071.4333333333334"/>
    <n v="125912"/>
    <n v="1251"/>
    <n v="4197.0666666666666"/>
    <m/>
    <m/>
    <m/>
    <m/>
    <m/>
    <m/>
    <m/>
    <m/>
    <n v="0"/>
    <m/>
    <n v="0"/>
    <n v="0"/>
    <m/>
    <n v="0"/>
    <m/>
    <m/>
    <m/>
    <m/>
    <m/>
    <m/>
    <m/>
    <m/>
    <n v="0"/>
    <n v="0"/>
    <n v="0"/>
    <n v="0"/>
    <n v="4071.4333333333334"/>
    <n v="4197.0666666666666"/>
  </r>
  <r>
    <x v="8"/>
    <s v="Meridian Community College "/>
    <n v="175935"/>
    <x v="7"/>
    <s v="sem"/>
    <s v="sem"/>
    <m/>
    <m/>
    <n v="37664"/>
    <n v="37498"/>
    <n v="6313"/>
    <n v="6899"/>
    <n v="42495"/>
    <n v="44458"/>
    <n v="86472"/>
    <m/>
    <n v="2882.4"/>
    <n v="88855"/>
    <n v="528"/>
    <n v="2961.8333333333335"/>
    <m/>
    <m/>
    <m/>
    <m/>
    <m/>
    <m/>
    <m/>
    <m/>
    <n v="0"/>
    <m/>
    <n v="0"/>
    <n v="0"/>
    <m/>
    <n v="0"/>
    <m/>
    <m/>
    <m/>
    <m/>
    <m/>
    <m/>
    <m/>
    <m/>
    <n v="0"/>
    <n v="0"/>
    <n v="0"/>
    <n v="0"/>
    <n v="2882.4"/>
    <n v="2961.8333333333335"/>
  </r>
  <r>
    <x v="8"/>
    <s v="Mississippi Delta Community College "/>
    <n v="176008"/>
    <x v="7"/>
    <s v="sem"/>
    <s v="sem"/>
    <m/>
    <m/>
    <n v="31934"/>
    <n v="32874"/>
    <n v="4528"/>
    <n v="4795"/>
    <n v="35892"/>
    <n v="37704"/>
    <n v="72354"/>
    <m/>
    <n v="2411.8000000000002"/>
    <n v="75373"/>
    <n v="1207"/>
    <n v="2512.4333333333334"/>
    <m/>
    <m/>
    <m/>
    <m/>
    <m/>
    <m/>
    <m/>
    <m/>
    <n v="0"/>
    <m/>
    <n v="0"/>
    <n v="0"/>
    <m/>
    <n v="0"/>
    <m/>
    <m/>
    <m/>
    <m/>
    <m/>
    <m/>
    <m/>
    <m/>
    <n v="0"/>
    <n v="0"/>
    <n v="0"/>
    <n v="0"/>
    <n v="2411.8000000000002"/>
    <n v="2512.4333333333334"/>
  </r>
  <r>
    <x v="8"/>
    <s v="Northeast Mississippi Community College "/>
    <n v="176169"/>
    <x v="7"/>
    <s v="sem"/>
    <s v="sem"/>
    <m/>
    <m/>
    <n v="38855"/>
    <n v="37464"/>
    <n v="5399"/>
    <n v="4479"/>
    <n v="44976"/>
    <n v="42175"/>
    <n v="89230"/>
    <m/>
    <n v="2974.3333333333335"/>
    <n v="84118"/>
    <n v="389"/>
    <n v="2803.9333333333334"/>
    <m/>
    <m/>
    <m/>
    <m/>
    <m/>
    <m/>
    <m/>
    <m/>
    <n v="0"/>
    <m/>
    <n v="0"/>
    <n v="0"/>
    <m/>
    <n v="0"/>
    <m/>
    <m/>
    <m/>
    <m/>
    <m/>
    <m/>
    <m/>
    <m/>
    <n v="0"/>
    <n v="0"/>
    <n v="0"/>
    <n v="0"/>
    <n v="2974.3333333333335"/>
    <n v="2803.9333333333334"/>
  </r>
  <r>
    <x v="8"/>
    <s v="Pearl River Community College "/>
    <n v="176239"/>
    <x v="7"/>
    <s v="sem"/>
    <s v="sem"/>
    <m/>
    <m/>
    <n v="42116"/>
    <n v="42287"/>
    <n v="8841"/>
    <n v="9063"/>
    <n v="45027"/>
    <n v="51016"/>
    <n v="95984"/>
    <m/>
    <n v="3199.4666666666667"/>
    <n v="102366"/>
    <n v="895"/>
    <n v="3412.2"/>
    <m/>
    <m/>
    <m/>
    <m/>
    <m/>
    <m/>
    <m/>
    <m/>
    <n v="0"/>
    <m/>
    <n v="0"/>
    <n v="0"/>
    <m/>
    <n v="0"/>
    <m/>
    <m/>
    <m/>
    <m/>
    <m/>
    <m/>
    <m/>
    <m/>
    <n v="0"/>
    <n v="0"/>
    <n v="0"/>
    <n v="0"/>
    <n v="3199.4666666666667"/>
    <n v="3412.2"/>
  </r>
  <r>
    <x v="8"/>
    <s v="Coahoma Community College "/>
    <n v="175519"/>
    <x v="8"/>
    <s v="sem"/>
    <s v="sem"/>
    <m/>
    <m/>
    <n v="22326"/>
    <n v="21034"/>
    <n v="2131"/>
    <n v="1708"/>
    <n v="26045"/>
    <n v="21634"/>
    <n v="50502"/>
    <m/>
    <n v="1683.4"/>
    <n v="44376"/>
    <n v="880"/>
    <n v="1479.2"/>
    <m/>
    <m/>
    <m/>
    <m/>
    <m/>
    <m/>
    <m/>
    <m/>
    <n v="0"/>
    <m/>
    <n v="0"/>
    <n v="0"/>
    <m/>
    <n v="0"/>
    <m/>
    <m/>
    <m/>
    <m/>
    <m/>
    <m/>
    <m/>
    <m/>
    <n v="0"/>
    <n v="0"/>
    <n v="0"/>
    <n v="0"/>
    <n v="1683.4"/>
    <n v="1479.2"/>
  </r>
  <r>
    <x v="8"/>
    <s v="Southwest Mississippi Community College  "/>
    <n v="176354"/>
    <x v="8"/>
    <s v="sem"/>
    <s v="sem"/>
    <m/>
    <m/>
    <n v="20965"/>
    <n v="20878"/>
    <n v="3050"/>
    <n v="2632"/>
    <n v="24189"/>
    <n v="25412"/>
    <n v="48204"/>
    <m/>
    <n v="1606.8"/>
    <n v="48922"/>
    <n v="415"/>
    <n v="1630.7333333333333"/>
    <m/>
    <m/>
    <m/>
    <m/>
    <m/>
    <m/>
    <m/>
    <m/>
    <n v="0"/>
    <m/>
    <n v="0"/>
    <n v="0"/>
    <m/>
    <n v="0"/>
    <m/>
    <m/>
    <m/>
    <m/>
    <m/>
    <m/>
    <m/>
    <m/>
    <n v="0"/>
    <n v="0"/>
    <n v="0"/>
    <n v="0"/>
    <n v="1606.8"/>
    <n v="1630.7333333333333"/>
  </r>
  <r>
    <x v="9"/>
    <s v="North Carolina State University "/>
    <n v="199193"/>
    <x v="0"/>
    <s v="sem"/>
    <s v="sem"/>
    <m/>
    <m/>
    <n v="297764"/>
    <n v="306377"/>
    <n v="51650"/>
    <n v="52013"/>
    <n v="328261"/>
    <n v="337998"/>
    <n v="677675"/>
    <n v="0"/>
    <n v="22589.166666666668"/>
    <n v="696388"/>
    <n v="0"/>
    <n v="23212.933333333334"/>
    <m/>
    <m/>
    <m/>
    <m/>
    <m/>
    <m/>
    <m/>
    <m/>
    <n v="0"/>
    <m/>
    <n v="0"/>
    <n v="0"/>
    <m/>
    <n v="0"/>
    <m/>
    <m/>
    <n v="48856"/>
    <n v="51210"/>
    <n v="6373"/>
    <n v="7332"/>
    <n v="54398"/>
    <n v="57704"/>
    <n v="109627"/>
    <n v="4567.791666666667"/>
    <n v="116246"/>
    <n v="4843.583333333333"/>
    <n v="27156.958333333336"/>
    <n v="28056.516666666666"/>
  </r>
  <r>
    <x v="9"/>
    <s v="University of North Carolina at Chapel Hill "/>
    <n v="199120"/>
    <x v="0"/>
    <s v="sem"/>
    <s v="sem"/>
    <m/>
    <m/>
    <n v="215950"/>
    <n v="220821"/>
    <n v="32626"/>
    <n v="33062"/>
    <n v="235737"/>
    <n v="241077"/>
    <n v="484313"/>
    <n v="0"/>
    <n v="16143.766666666666"/>
    <n v="494960"/>
    <n v="0"/>
    <n v="16498.666666666668"/>
    <m/>
    <m/>
    <m/>
    <m/>
    <m/>
    <m/>
    <m/>
    <m/>
    <n v="0"/>
    <m/>
    <n v="0"/>
    <n v="0"/>
    <m/>
    <n v="0"/>
    <m/>
    <m/>
    <n v="82412"/>
    <n v="82078"/>
    <n v="12198"/>
    <n v="13026"/>
    <n v="98109"/>
    <n v="92314"/>
    <n v="192719"/>
    <n v="8029.958333333333"/>
    <n v="187418"/>
    <n v="7809.083333333333"/>
    <n v="24173.724999999999"/>
    <n v="24307.75"/>
  </r>
  <r>
    <x v="9"/>
    <s v="University of North Carolina at Charlotte"/>
    <n v="199139"/>
    <x v="1"/>
    <s v="sem"/>
    <s v="sem"/>
    <m/>
    <m/>
    <n v="207022"/>
    <n v="216563"/>
    <n v="37377"/>
    <n v="38693"/>
    <n v="233148"/>
    <n v="242637"/>
    <n v="477547"/>
    <n v="0"/>
    <n v="15918.233333333334"/>
    <n v="497893"/>
    <n v="0"/>
    <n v="16596.433333333334"/>
    <m/>
    <m/>
    <m/>
    <m/>
    <m/>
    <m/>
    <m/>
    <m/>
    <n v="0"/>
    <m/>
    <n v="0"/>
    <n v="0"/>
    <m/>
    <n v="0"/>
    <m/>
    <m/>
    <n v="26583"/>
    <n v="28210"/>
    <n v="10031"/>
    <n v="10226"/>
    <n v="29221"/>
    <n v="31074"/>
    <n v="65835"/>
    <n v="2743.125"/>
    <n v="69510"/>
    <n v="2896.25"/>
    <n v="18661.358333333334"/>
    <n v="19492.683333333334"/>
  </r>
  <r>
    <x v="9"/>
    <s v="University of North Carolina at Greensboro"/>
    <n v="199148"/>
    <x v="1"/>
    <s v="sem"/>
    <s v="sem"/>
    <m/>
    <m/>
    <n v="160967"/>
    <n v="173633"/>
    <n v="24773"/>
    <n v="26613"/>
    <n v="179923"/>
    <n v="193384"/>
    <n v="365663"/>
    <n v="4144"/>
    <n v="12188.766666666666"/>
    <n v="393630"/>
    <n v="12546"/>
    <n v="13121"/>
    <m/>
    <m/>
    <m/>
    <m/>
    <m/>
    <m/>
    <m/>
    <m/>
    <n v="0"/>
    <m/>
    <n v="0"/>
    <n v="0"/>
    <m/>
    <n v="0"/>
    <m/>
    <m/>
    <n v="29462"/>
    <n v="29863"/>
    <n v="7816"/>
    <n v="7287"/>
    <n v="31003"/>
    <n v="31091"/>
    <n v="68281"/>
    <n v="2845.0416666666665"/>
    <n v="68241"/>
    <n v="2843.375"/>
    <n v="15033.808333333332"/>
    <n v="15964.375"/>
  </r>
  <r>
    <x v="9"/>
    <s v="Appalachian State University "/>
    <n v="197869"/>
    <x v="2"/>
    <s v="sem"/>
    <s v="sem"/>
    <m/>
    <m/>
    <n v="176765"/>
    <n v="189910"/>
    <n v="32220"/>
    <n v="31256"/>
    <n v="200769"/>
    <n v="211078"/>
    <n v="409754"/>
    <n v="0"/>
    <n v="13658.466666666667"/>
    <n v="432244"/>
    <n v="0"/>
    <n v="14408.133333333333"/>
    <m/>
    <m/>
    <m/>
    <m/>
    <m/>
    <m/>
    <m/>
    <m/>
    <n v="0"/>
    <m/>
    <n v="0"/>
    <n v="0"/>
    <m/>
    <n v="0"/>
    <m/>
    <m/>
    <n v="12030"/>
    <n v="13385"/>
    <n v="7538"/>
    <n v="8353"/>
    <n v="13572"/>
    <n v="14527"/>
    <n v="33140"/>
    <n v="1380.8333333333333"/>
    <n v="36265"/>
    <n v="1511.0416666666667"/>
    <n v="15039.300000000001"/>
    <n v="15919.174999999999"/>
  </r>
  <r>
    <x v="9"/>
    <s v="East Carolina University "/>
    <n v="198464"/>
    <x v="2"/>
    <s v="sem"/>
    <s v="sem"/>
    <m/>
    <m/>
    <n v="231715"/>
    <n v="242035"/>
    <n v="47040"/>
    <n v="49175"/>
    <n v="260641"/>
    <n v="277518"/>
    <n v="539396"/>
    <n v="0"/>
    <n v="17979.866666666665"/>
    <n v="568728"/>
    <n v="0"/>
    <n v="18957.599999999999"/>
    <m/>
    <m/>
    <m/>
    <m/>
    <m/>
    <m/>
    <m/>
    <m/>
    <n v="0"/>
    <m/>
    <n v="0"/>
    <n v="0"/>
    <m/>
    <n v="0"/>
    <m/>
    <m/>
    <n v="32561"/>
    <n v="35558"/>
    <n v="20731"/>
    <n v="22180"/>
    <n v="40514"/>
    <n v="39620"/>
    <n v="93806"/>
    <n v="3908.5833333333335"/>
    <n v="97358"/>
    <n v="4056.5833333333335"/>
    <n v="21888.449999999997"/>
    <n v="23014.183333333331"/>
  </r>
  <r>
    <x v="9"/>
    <s v="North Carolina A&amp;T State University"/>
    <n v="199102"/>
    <x v="2"/>
    <s v="sem"/>
    <s v="sem"/>
    <m/>
    <m/>
    <n v="126535"/>
    <n v="119039"/>
    <n v="23819"/>
    <n v="21517"/>
    <n v="127974"/>
    <n v="122706"/>
    <n v="278328"/>
    <n v="1042"/>
    <n v="9277.6"/>
    <n v="263262"/>
    <n v="874"/>
    <n v="8775.4"/>
    <m/>
    <m/>
    <m/>
    <m/>
    <m/>
    <m/>
    <m/>
    <m/>
    <n v="0"/>
    <m/>
    <n v="0"/>
    <n v="0"/>
    <m/>
    <n v="0"/>
    <m/>
    <m/>
    <n v="14829"/>
    <n v="14723"/>
    <n v="3987"/>
    <n v="4012"/>
    <n v="13131"/>
    <n v="14601"/>
    <n v="31947"/>
    <n v="1331.125"/>
    <n v="33336"/>
    <n v="1389"/>
    <n v="10608.725"/>
    <n v="10164.4"/>
  </r>
  <r>
    <x v="9"/>
    <s v="North Carolina Central University "/>
    <n v="199157"/>
    <x v="2"/>
    <s v="sem"/>
    <s v="sem"/>
    <m/>
    <m/>
    <n v="76251"/>
    <n v="77938"/>
    <n v="18429"/>
    <n v="18523"/>
    <n v="84104"/>
    <n v="80189"/>
    <n v="178784"/>
    <n v="1556"/>
    <n v="5959.4666666666662"/>
    <n v="176650"/>
    <n v="3547"/>
    <n v="5888.333333333333"/>
    <m/>
    <m/>
    <m/>
    <m/>
    <m/>
    <m/>
    <m/>
    <m/>
    <n v="0"/>
    <m/>
    <n v="0"/>
    <n v="0"/>
    <m/>
    <n v="0"/>
    <m/>
    <m/>
    <n v="16481"/>
    <n v="17771"/>
    <n v="4813"/>
    <n v="4875"/>
    <n v="18015"/>
    <n v="18741"/>
    <n v="39309"/>
    <n v="1637.875"/>
    <n v="41387"/>
    <n v="1724.4583333333333"/>
    <n v="7597.3416666666662"/>
    <n v="7612.7916666666661"/>
  </r>
  <r>
    <x v="9"/>
    <s v="University of North Carolina at Wilmington"/>
    <n v="199218"/>
    <x v="2"/>
    <s v="sem"/>
    <s v="sem"/>
    <m/>
    <m/>
    <n v="138426"/>
    <n v="141594"/>
    <n v="26320"/>
    <n v="27182"/>
    <n v="153993"/>
    <n v="157835"/>
    <n v="318739"/>
    <n v="0"/>
    <n v="10624.633333333333"/>
    <n v="326611"/>
    <n v="646"/>
    <n v="10887.033333333333"/>
    <m/>
    <m/>
    <m/>
    <m/>
    <m/>
    <m/>
    <m/>
    <m/>
    <n v="0"/>
    <m/>
    <n v="0"/>
    <n v="0"/>
    <m/>
    <n v="0"/>
    <m/>
    <m/>
    <n v="7167"/>
    <n v="8058"/>
    <n v="2221"/>
    <n v="2687"/>
    <n v="8292"/>
    <n v="9585"/>
    <n v="17680"/>
    <n v="736.66666666666663"/>
    <n v="20330"/>
    <n v="847.08333333333337"/>
    <n v="11361.3"/>
    <n v="11734.116666666667"/>
  </r>
  <r>
    <x v="9"/>
    <s v="Western Carolina University "/>
    <n v="200004"/>
    <x v="2"/>
    <s v="sem"/>
    <s v="sem"/>
    <m/>
    <m/>
    <n v="89717"/>
    <n v="89807"/>
    <n v="15343"/>
    <n v="15087"/>
    <n v="97168"/>
    <n v="95088"/>
    <n v="202228"/>
    <n v="0"/>
    <n v="6740.9333333333334"/>
    <n v="199982"/>
    <n v="0"/>
    <n v="6666.0666666666666"/>
    <m/>
    <m/>
    <m/>
    <m/>
    <m/>
    <m/>
    <m/>
    <m/>
    <n v="0"/>
    <m/>
    <n v="0"/>
    <n v="0"/>
    <m/>
    <n v="0"/>
    <m/>
    <m/>
    <n v="10598"/>
    <n v="12008"/>
    <n v="6329"/>
    <n v="6787"/>
    <n v="12663"/>
    <n v="12709"/>
    <n v="29590"/>
    <n v="1232.9166666666667"/>
    <n v="31504"/>
    <n v="1312.6666666666667"/>
    <n v="7973.85"/>
    <n v="7978.7333333333336"/>
  </r>
  <r>
    <x v="9"/>
    <s v="Fayetteville State University "/>
    <n v="198543"/>
    <x v="3"/>
    <s v="sem"/>
    <s v="sem"/>
    <m/>
    <m/>
    <n v="71262"/>
    <n v="76566"/>
    <n v="21280"/>
    <n v="20365"/>
    <n v="81015"/>
    <n v="70479"/>
    <n v="173557"/>
    <n v="614"/>
    <n v="5785.2333333333336"/>
    <n v="167410"/>
    <n v="1605"/>
    <n v="5580.333333333333"/>
    <m/>
    <m/>
    <m/>
    <m/>
    <m/>
    <m/>
    <m/>
    <m/>
    <n v="0"/>
    <m/>
    <n v="0"/>
    <n v="0"/>
    <m/>
    <n v="0"/>
    <m/>
    <m/>
    <n v="4971"/>
    <n v="5339"/>
    <n v="2007"/>
    <n v="1429"/>
    <n v="5750"/>
    <n v="4546"/>
    <n v="12728"/>
    <n v="530.33333333333337"/>
    <n v="11314"/>
    <n v="471.41666666666669"/>
    <n v="6315.5666666666666"/>
    <n v="6051.75"/>
  </r>
  <r>
    <x v="9"/>
    <s v="University of North Carolina at Pembroke"/>
    <n v="199281"/>
    <x v="4"/>
    <s v="sem"/>
    <s v="sem"/>
    <m/>
    <m/>
    <n v="59243"/>
    <n v="61635"/>
    <n v="12991"/>
    <n v="15046"/>
    <n v="66766"/>
    <n v="70251"/>
    <n v="139000"/>
    <n v="0"/>
    <n v="4633.333333333333"/>
    <n v="146932"/>
    <n v="0"/>
    <n v="4897.7333333333336"/>
    <m/>
    <m/>
    <m/>
    <m/>
    <m/>
    <m/>
    <m/>
    <m/>
    <n v="0"/>
    <m/>
    <n v="0"/>
    <n v="0"/>
    <m/>
    <n v="0"/>
    <m/>
    <m/>
    <n v="3201"/>
    <n v="3669"/>
    <n v="2165"/>
    <n v="2682"/>
    <n v="3656"/>
    <n v="3744"/>
    <n v="9022"/>
    <n v="375.91666666666669"/>
    <n v="10095"/>
    <n v="420.625"/>
    <n v="5009.25"/>
    <n v="5318.3583333333336"/>
  </r>
  <r>
    <x v="9"/>
    <s v="Winston-Salem State University "/>
    <n v="199999"/>
    <x v="4"/>
    <s v="sem"/>
    <s v="sem"/>
    <m/>
    <m/>
    <n v="70012"/>
    <n v="73028"/>
    <n v="11742"/>
    <n v="10745"/>
    <n v="76900"/>
    <n v="84020"/>
    <n v="158654"/>
    <n v="0"/>
    <n v="5288.4666666666662"/>
    <n v="167793"/>
    <n v="0"/>
    <n v="5593.1"/>
    <m/>
    <m/>
    <m/>
    <m/>
    <m/>
    <m/>
    <m/>
    <m/>
    <n v="0"/>
    <m/>
    <n v="0"/>
    <n v="0"/>
    <m/>
    <n v="0"/>
    <m/>
    <m/>
    <n v="2589"/>
    <n v="3404"/>
    <n v="1690"/>
    <n v="1310"/>
    <n v="3700"/>
    <n v="4297"/>
    <n v="7979"/>
    <n v="332.45833333333331"/>
    <n v="9011"/>
    <n v="375.45833333333331"/>
    <n v="5620.9249999999993"/>
    <n v="5968.5583333333334"/>
  </r>
  <r>
    <x v="9"/>
    <s v="Elizabeth City State University "/>
    <n v="198507"/>
    <x v="5"/>
    <s v="sem"/>
    <s v="sem"/>
    <m/>
    <m/>
    <n v="36675"/>
    <n v="38820"/>
    <n v="6764"/>
    <n v="6511"/>
    <n v="42008"/>
    <n v="43790"/>
    <n v="85447"/>
    <n v="0"/>
    <n v="2848.2333333333331"/>
    <n v="89121"/>
    <n v="0"/>
    <n v="2970.7"/>
    <m/>
    <m/>
    <m/>
    <m/>
    <m/>
    <m/>
    <m/>
    <m/>
    <n v="0"/>
    <m/>
    <n v="0"/>
    <n v="0"/>
    <m/>
    <n v="0"/>
    <m/>
    <m/>
    <n v="342"/>
    <n v="344"/>
    <n v="302"/>
    <n v="246"/>
    <n v="704"/>
    <n v="291"/>
    <n v="1348"/>
    <n v="56.166666666666664"/>
    <n v="881"/>
    <n v="36.708333333333336"/>
    <n v="2904.3999999999996"/>
    <n v="3007.4083333333333"/>
  </r>
  <r>
    <x v="9"/>
    <s v="University of North Carolina at Asheville"/>
    <n v="199111"/>
    <x v="5"/>
    <s v="sem"/>
    <s v="sem"/>
    <m/>
    <m/>
    <n v="43397"/>
    <n v="42829"/>
    <n v="4134"/>
    <n v="3902"/>
    <n v="47400"/>
    <n v="46290"/>
    <n v="94931"/>
    <n v="0"/>
    <n v="3164.3666666666668"/>
    <n v="93021"/>
    <n v="0"/>
    <n v="3100.7"/>
    <m/>
    <m/>
    <m/>
    <m/>
    <m/>
    <m/>
    <m/>
    <m/>
    <n v="0"/>
    <m/>
    <n v="0"/>
    <n v="0"/>
    <m/>
    <n v="0"/>
    <m/>
    <m/>
    <n v="123"/>
    <n v="125"/>
    <n v="3"/>
    <n v="6"/>
    <n v="150"/>
    <n v="159"/>
    <n v="276"/>
    <n v="11.5"/>
    <n v="290"/>
    <n v="12.083333333333334"/>
    <n v="3175.8666666666668"/>
    <n v="3112.7833333333333"/>
  </r>
  <r>
    <x v="9"/>
    <s v="Asheville-Buncombe Technical Community College"/>
    <n v="197887"/>
    <x v="6"/>
    <s v="sem"/>
    <s v="sem"/>
    <m/>
    <m/>
    <n v="79736.399999999994"/>
    <n v="86010"/>
    <n v="27216.6"/>
    <n v="28560"/>
    <n v="89791.5"/>
    <n v="93210"/>
    <n v="196744.5"/>
    <n v="15152.699999999999"/>
    <n v="6558.15"/>
    <n v="207780"/>
    <n v="16126.199999999999"/>
    <n v="6926"/>
    <m/>
    <m/>
    <m/>
    <m/>
    <m/>
    <m/>
    <m/>
    <m/>
    <n v="0"/>
    <m/>
    <n v="0"/>
    <n v="0"/>
    <m/>
    <n v="0"/>
    <m/>
    <m/>
    <m/>
    <m/>
    <m/>
    <m/>
    <m/>
    <m/>
    <n v="0"/>
    <n v="0"/>
    <n v="0"/>
    <n v="0"/>
    <n v="6558.15"/>
    <n v="6926"/>
  </r>
  <r>
    <x v="9"/>
    <s v="Cape Fear Community College"/>
    <n v="198154"/>
    <x v="6"/>
    <s v="sem"/>
    <s v="sem"/>
    <m/>
    <m/>
    <n v="93353.1"/>
    <n v="103050"/>
    <n v="23851.200000000001"/>
    <n v="27450"/>
    <n v="107288.4"/>
    <n v="114660"/>
    <n v="224492.7"/>
    <n v="4500.8999999999996"/>
    <n v="7483.09"/>
    <n v="245160"/>
    <n v="6239.1"/>
    <n v="8172"/>
    <m/>
    <m/>
    <m/>
    <m/>
    <m/>
    <m/>
    <m/>
    <m/>
    <n v="0"/>
    <m/>
    <n v="0"/>
    <n v="0"/>
    <m/>
    <n v="0"/>
    <m/>
    <m/>
    <m/>
    <m/>
    <m/>
    <m/>
    <m/>
    <m/>
    <n v="0"/>
    <n v="0"/>
    <n v="0"/>
    <n v="0"/>
    <n v="7483.09"/>
    <n v="8172"/>
  </r>
  <r>
    <x v="9"/>
    <s v="Catawba Valley Community College"/>
    <n v="198233"/>
    <x v="6"/>
    <s v="sem"/>
    <s v="sem"/>
    <m/>
    <m/>
    <n v="63498"/>
    <n v="65550"/>
    <n v="26729.4"/>
    <n v="25620"/>
    <n v="70469.399999999994"/>
    <n v="68910"/>
    <n v="160696.79999999999"/>
    <n v="5125.8"/>
    <n v="5356.5599999999995"/>
    <n v="160080"/>
    <n v="7110.6"/>
    <n v="5336"/>
    <m/>
    <m/>
    <m/>
    <m/>
    <m/>
    <m/>
    <m/>
    <m/>
    <n v="0"/>
    <m/>
    <n v="0"/>
    <n v="0"/>
    <m/>
    <n v="0"/>
    <m/>
    <m/>
    <m/>
    <m/>
    <m/>
    <m/>
    <m/>
    <m/>
    <n v="0"/>
    <n v="0"/>
    <n v="0"/>
    <n v="0"/>
    <n v="5356.5599999999995"/>
    <n v="5336"/>
  </r>
  <r>
    <x v="9"/>
    <s v="Central Carolina Commuity College"/>
    <n v="198251"/>
    <x v="6"/>
    <s v="sem"/>
    <s v="sem"/>
    <m/>
    <m/>
    <n v="69392.100000000006"/>
    <n v="68550"/>
    <n v="22673.7"/>
    <n v="23610"/>
    <n v="75305.399999999994"/>
    <n v="77370"/>
    <n v="167371.20000000001"/>
    <n v="11601.6"/>
    <n v="5579.04"/>
    <n v="169530"/>
    <n v="10050.9"/>
    <n v="5651"/>
    <m/>
    <m/>
    <m/>
    <m/>
    <m/>
    <m/>
    <m/>
    <m/>
    <n v="0"/>
    <m/>
    <n v="0"/>
    <n v="0"/>
    <m/>
    <n v="0"/>
    <m/>
    <m/>
    <m/>
    <m/>
    <m/>
    <m/>
    <m/>
    <m/>
    <n v="0"/>
    <n v="0"/>
    <n v="0"/>
    <n v="0"/>
    <n v="5579.04"/>
    <n v="5651"/>
  </r>
  <r>
    <x v="9"/>
    <s v="Central Piedmont Community College "/>
    <n v="198260"/>
    <x v="6"/>
    <s v="sem"/>
    <s v="sem"/>
    <m/>
    <m/>
    <n v="196483.20000000001"/>
    <n v="206700"/>
    <n v="55141.8"/>
    <n v="57900"/>
    <n v="213131.4"/>
    <n v="223560"/>
    <n v="464756.4"/>
    <n v="6760.8"/>
    <n v="15491.880000000001"/>
    <n v="488160"/>
    <n v="9349.5"/>
    <n v="16272"/>
    <m/>
    <m/>
    <m/>
    <m/>
    <m/>
    <m/>
    <m/>
    <m/>
    <n v="0"/>
    <m/>
    <n v="0"/>
    <n v="0"/>
    <m/>
    <n v="0"/>
    <m/>
    <m/>
    <m/>
    <m/>
    <m/>
    <m/>
    <m/>
    <m/>
    <n v="0"/>
    <n v="0"/>
    <n v="0"/>
    <n v="0"/>
    <n v="15491.880000000001"/>
    <n v="16272"/>
  </r>
  <r>
    <x v="9"/>
    <s v="Durham Technical Community College"/>
    <n v="198455"/>
    <x v="6"/>
    <s v="sem"/>
    <s v="sem"/>
    <m/>
    <m/>
    <n v="62991.6"/>
    <n v="61440"/>
    <n v="24721.200000000001"/>
    <n v="25140"/>
    <n v="67229.399999999994"/>
    <n v="67980"/>
    <n v="154942.20000000001"/>
    <n v="2754.3"/>
    <n v="5164.7400000000007"/>
    <n v="154560"/>
    <n v="3572.7000000000003"/>
    <n v="5152"/>
    <m/>
    <m/>
    <m/>
    <m/>
    <m/>
    <m/>
    <m/>
    <m/>
    <n v="0"/>
    <m/>
    <n v="0"/>
    <n v="0"/>
    <m/>
    <n v="0"/>
    <m/>
    <m/>
    <m/>
    <m/>
    <m/>
    <m/>
    <m/>
    <m/>
    <n v="0"/>
    <n v="0"/>
    <n v="0"/>
    <n v="0"/>
    <n v="5164.7400000000007"/>
    <n v="5152"/>
  </r>
  <r>
    <x v="9"/>
    <s v="Fayetteville Technical Community College"/>
    <n v="198534"/>
    <x v="6"/>
    <s v="sem"/>
    <s v="sem"/>
    <m/>
    <m/>
    <n v="144801.29999999999"/>
    <n v="142590"/>
    <n v="49518"/>
    <n v="51810"/>
    <n v="146046"/>
    <n v="156180"/>
    <n v="340365.3"/>
    <n v="6423.9"/>
    <n v="11345.51"/>
    <n v="350580"/>
    <n v="8471.4"/>
    <n v="11686"/>
    <m/>
    <m/>
    <m/>
    <m/>
    <m/>
    <m/>
    <m/>
    <m/>
    <n v="0"/>
    <m/>
    <n v="0"/>
    <n v="0"/>
    <m/>
    <n v="0"/>
    <m/>
    <m/>
    <m/>
    <m/>
    <m/>
    <m/>
    <m/>
    <m/>
    <n v="0"/>
    <n v="0"/>
    <n v="0"/>
    <n v="0"/>
    <n v="11345.51"/>
    <n v="11686"/>
  </r>
  <r>
    <x v="9"/>
    <s v="Forsyth Technical Community College"/>
    <n v="198552"/>
    <x v="6"/>
    <s v="sem"/>
    <s v="sem"/>
    <m/>
    <m/>
    <n v="87169.5"/>
    <n v="95460"/>
    <n v="33527.4"/>
    <n v="35550"/>
    <n v="95282.1"/>
    <n v="108150"/>
    <n v="215979"/>
    <n v="2907.9"/>
    <n v="7199.3"/>
    <n v="239160"/>
    <n v="3055.8"/>
    <n v="7972"/>
    <m/>
    <m/>
    <m/>
    <m/>
    <m/>
    <m/>
    <m/>
    <m/>
    <n v="0"/>
    <m/>
    <n v="0"/>
    <n v="0"/>
    <m/>
    <n v="0"/>
    <m/>
    <m/>
    <m/>
    <m/>
    <m/>
    <m/>
    <m/>
    <m/>
    <n v="0"/>
    <n v="0"/>
    <n v="0"/>
    <n v="0"/>
    <n v="7199.3"/>
    <n v="7972"/>
  </r>
  <r>
    <x v="9"/>
    <s v="Guilford Technical Community College"/>
    <n v="198622"/>
    <x v="6"/>
    <s v="sem"/>
    <s v="sem"/>
    <m/>
    <m/>
    <n v="128082.9"/>
    <n v="136500"/>
    <n v="37450.199999999997"/>
    <n v="39330"/>
    <n v="146596.79999999999"/>
    <n v="161400"/>
    <n v="312129.89999999997"/>
    <n v="1731.6"/>
    <n v="10404.329999999998"/>
    <n v="337230"/>
    <n v="2173.1999999999998"/>
    <n v="11241"/>
    <m/>
    <m/>
    <m/>
    <m/>
    <m/>
    <m/>
    <m/>
    <m/>
    <n v="0"/>
    <m/>
    <n v="0"/>
    <n v="0"/>
    <m/>
    <n v="0"/>
    <m/>
    <m/>
    <m/>
    <m/>
    <m/>
    <m/>
    <m/>
    <m/>
    <n v="0"/>
    <n v="0"/>
    <n v="0"/>
    <n v="0"/>
    <n v="10404.329999999998"/>
    <n v="11241"/>
  </r>
  <r>
    <x v="9"/>
    <s v="Pitt Community College"/>
    <n v="199333"/>
    <x v="6"/>
    <s v="sem"/>
    <s v="sem"/>
    <m/>
    <m/>
    <n v="80440.800000000003"/>
    <n v="86280"/>
    <n v="26049"/>
    <n v="27330"/>
    <n v="86857.2"/>
    <n v="92940"/>
    <n v="193347"/>
    <n v="3567.2999999999997"/>
    <n v="6444.9"/>
    <n v="206550"/>
    <n v="4218.3"/>
    <n v="6885"/>
    <m/>
    <m/>
    <m/>
    <m/>
    <m/>
    <m/>
    <m/>
    <m/>
    <n v="0"/>
    <m/>
    <n v="0"/>
    <n v="0"/>
    <m/>
    <n v="0"/>
    <m/>
    <m/>
    <m/>
    <m/>
    <m/>
    <m/>
    <m/>
    <m/>
    <n v="0"/>
    <n v="0"/>
    <n v="0"/>
    <n v="0"/>
    <n v="6444.9"/>
    <n v="6885"/>
  </r>
  <r>
    <x v="9"/>
    <s v="Rowan-Cabarrus Community College"/>
    <n v="199494"/>
    <x v="6"/>
    <s v="sem"/>
    <s v="sem"/>
    <m/>
    <m/>
    <n v="66212.399999999994"/>
    <n v="70020"/>
    <n v="20848.5"/>
    <n v="22560"/>
    <n v="76593.899999999994"/>
    <n v="81900"/>
    <n v="163654.79999999999"/>
    <n v="4765.5"/>
    <n v="5455.16"/>
    <n v="174480"/>
    <n v="4854"/>
    <n v="5816"/>
    <m/>
    <m/>
    <m/>
    <m/>
    <m/>
    <m/>
    <m/>
    <m/>
    <n v="0"/>
    <m/>
    <n v="0"/>
    <n v="0"/>
    <m/>
    <n v="0"/>
    <m/>
    <m/>
    <m/>
    <m/>
    <m/>
    <m/>
    <m/>
    <m/>
    <n v="0"/>
    <n v="0"/>
    <n v="0"/>
    <n v="0"/>
    <n v="5455.16"/>
    <n v="5816"/>
  </r>
  <r>
    <x v="9"/>
    <s v="Wake Technical Community College"/>
    <n v="199856"/>
    <x v="6"/>
    <s v="sem"/>
    <s v="sem"/>
    <m/>
    <m/>
    <n v="155446.5"/>
    <n v="172110"/>
    <n v="60519.3"/>
    <n v="60240"/>
    <n v="175045.5"/>
    <n v="197040"/>
    <n v="391011.3"/>
    <n v="2702.7000000000003"/>
    <n v="13033.71"/>
    <n v="429390"/>
    <n v="4712.7"/>
    <n v="14313"/>
    <m/>
    <m/>
    <m/>
    <m/>
    <m/>
    <m/>
    <m/>
    <m/>
    <n v="0"/>
    <m/>
    <n v="0"/>
    <n v="0"/>
    <m/>
    <n v="0"/>
    <m/>
    <m/>
    <m/>
    <m/>
    <m/>
    <m/>
    <m/>
    <m/>
    <n v="0"/>
    <n v="0"/>
    <n v="0"/>
    <n v="0"/>
    <n v="13033.71"/>
    <n v="14313"/>
  </r>
  <r>
    <x v="9"/>
    <s v="Alamance Community College"/>
    <n v="199786"/>
    <x v="7"/>
    <s v="sem"/>
    <s v="sem"/>
    <m/>
    <m/>
    <n v="53619.6"/>
    <n v="55770"/>
    <n v="16669.2"/>
    <n v="16920"/>
    <n v="55407"/>
    <n v="61560"/>
    <n v="125695.8"/>
    <n v="7878.0000000000009"/>
    <n v="4189.8599999999997"/>
    <n v="134250"/>
    <n v="6508.2"/>
    <n v="4475"/>
    <m/>
    <m/>
    <m/>
    <m/>
    <m/>
    <m/>
    <m/>
    <m/>
    <n v="0"/>
    <m/>
    <n v="0"/>
    <n v="0"/>
    <m/>
    <n v="0"/>
    <m/>
    <m/>
    <m/>
    <m/>
    <m/>
    <m/>
    <m/>
    <m/>
    <n v="0"/>
    <n v="0"/>
    <n v="0"/>
    <n v="0"/>
    <n v="4189.8599999999997"/>
    <n v="4475"/>
  </r>
  <r>
    <x v="9"/>
    <s v="Blue Ridge Community College"/>
    <n v="198039"/>
    <x v="7"/>
    <s v="sem"/>
    <s v="sem"/>
    <m/>
    <m/>
    <n v="28305.9"/>
    <n v="28110"/>
    <n v="9307.7999999999993"/>
    <n v="9180"/>
    <n v="30540.6"/>
    <n v="31890"/>
    <n v="68154.299999999988"/>
    <n v="3580.2000000000003"/>
    <n v="2271.8099999999995"/>
    <n v="69180"/>
    <n v="4297.5"/>
    <n v="2306"/>
    <m/>
    <m/>
    <m/>
    <m/>
    <m/>
    <m/>
    <m/>
    <m/>
    <n v="0"/>
    <m/>
    <n v="0"/>
    <n v="0"/>
    <m/>
    <n v="0"/>
    <m/>
    <m/>
    <m/>
    <m/>
    <m/>
    <m/>
    <m/>
    <m/>
    <n v="0"/>
    <n v="0"/>
    <n v="0"/>
    <n v="0"/>
    <n v="2271.8099999999995"/>
    <n v="2306"/>
  </r>
  <r>
    <x v="9"/>
    <s v="Caldwell Community College  &amp; Technical Institute"/>
    <n v="198118"/>
    <x v="7"/>
    <s v="sem"/>
    <s v="sem"/>
    <m/>
    <m/>
    <n v="53920.2"/>
    <n v="55950"/>
    <n v="17594.7"/>
    <n v="16770"/>
    <n v="59719.8"/>
    <n v="60630"/>
    <n v="131234.70000000001"/>
    <n v="6217.5"/>
    <n v="4374.4900000000007"/>
    <n v="133350"/>
    <n v="8217.3000000000011"/>
    <n v="4445"/>
    <m/>
    <m/>
    <m/>
    <m/>
    <m/>
    <m/>
    <m/>
    <m/>
    <n v="0"/>
    <m/>
    <n v="0"/>
    <n v="0"/>
    <m/>
    <n v="0"/>
    <m/>
    <m/>
    <m/>
    <m/>
    <m/>
    <m/>
    <m/>
    <m/>
    <n v="0"/>
    <n v="0"/>
    <n v="0"/>
    <n v="0"/>
    <n v="4374.4900000000007"/>
    <n v="4445"/>
  </r>
  <r>
    <x v="9"/>
    <s v="Cleveland Community College"/>
    <n v="198321"/>
    <x v="7"/>
    <s v="sem"/>
    <s v="sem"/>
    <m/>
    <m/>
    <n v="41870.699999999997"/>
    <n v="42000"/>
    <n v="10571.1"/>
    <n v="9210"/>
    <n v="43391.1"/>
    <n v="47580"/>
    <n v="95832.9"/>
    <n v="11221.8"/>
    <n v="3194.43"/>
    <n v="98790"/>
    <n v="11254.800000000001"/>
    <n v="3293"/>
    <m/>
    <m/>
    <m/>
    <m/>
    <m/>
    <m/>
    <m/>
    <m/>
    <n v="0"/>
    <m/>
    <n v="0"/>
    <n v="0"/>
    <m/>
    <n v="0"/>
    <m/>
    <m/>
    <m/>
    <m/>
    <m/>
    <m/>
    <m/>
    <m/>
    <n v="0"/>
    <n v="0"/>
    <n v="0"/>
    <n v="0"/>
    <n v="3194.43"/>
    <n v="3293"/>
  </r>
  <r>
    <x v="9"/>
    <s v="Coastal Carolina Community College "/>
    <n v="198330"/>
    <x v="7"/>
    <s v="sem"/>
    <s v="sem"/>
    <m/>
    <m/>
    <n v="59856"/>
    <n v="60150"/>
    <n v="25679.4"/>
    <n v="27090"/>
    <n v="61953"/>
    <n v="65280"/>
    <n v="147488.4"/>
    <n v="1236.8999999999999"/>
    <n v="4916.28"/>
    <n v="152520"/>
    <n v="1573.5"/>
    <n v="5084"/>
    <m/>
    <m/>
    <m/>
    <m/>
    <m/>
    <m/>
    <m/>
    <m/>
    <n v="0"/>
    <m/>
    <n v="0"/>
    <n v="0"/>
    <m/>
    <n v="0"/>
    <m/>
    <m/>
    <m/>
    <m/>
    <m/>
    <m/>
    <m/>
    <m/>
    <n v="0"/>
    <n v="0"/>
    <n v="0"/>
    <n v="0"/>
    <n v="4916.28"/>
    <n v="5084"/>
  </r>
  <r>
    <x v="9"/>
    <s v="College of the Albemarle"/>
    <n v="197814"/>
    <x v="7"/>
    <s v="sem"/>
    <s v="sem"/>
    <m/>
    <m/>
    <n v="31458"/>
    <n v="33570"/>
    <n v="8565"/>
    <n v="6720"/>
    <n v="33021.9"/>
    <n v="35400"/>
    <n v="73044.899999999994"/>
    <n v="4022.7000000000003"/>
    <n v="2434.83"/>
    <n v="75690"/>
    <n v="3090.9"/>
    <n v="2523"/>
    <m/>
    <m/>
    <m/>
    <m/>
    <m/>
    <m/>
    <m/>
    <m/>
    <n v="0"/>
    <m/>
    <n v="0"/>
    <n v="0"/>
    <m/>
    <n v="0"/>
    <m/>
    <m/>
    <m/>
    <m/>
    <m/>
    <m/>
    <m/>
    <m/>
    <n v="0"/>
    <n v="0"/>
    <n v="0"/>
    <n v="0"/>
    <n v="2434.83"/>
    <n v="2523"/>
  </r>
  <r>
    <x v="9"/>
    <s v="Craven Community College "/>
    <n v="198367"/>
    <x v="7"/>
    <s v="sem"/>
    <s v="sem"/>
    <m/>
    <m/>
    <n v="38330.400000000001"/>
    <n v="38190"/>
    <n v="14612.1"/>
    <n v="11640"/>
    <n v="39601.5"/>
    <n v="42090"/>
    <n v="92544"/>
    <n v="2396.6999999999998"/>
    <n v="3084.8"/>
    <n v="91920"/>
    <n v="3090.3"/>
    <n v="3064"/>
    <m/>
    <m/>
    <m/>
    <m/>
    <m/>
    <m/>
    <m/>
    <m/>
    <n v="0"/>
    <m/>
    <n v="0"/>
    <n v="0"/>
    <m/>
    <n v="0"/>
    <m/>
    <m/>
    <m/>
    <m/>
    <m/>
    <m/>
    <m/>
    <m/>
    <n v="0"/>
    <n v="0"/>
    <n v="0"/>
    <n v="0"/>
    <n v="3084.8"/>
    <n v="3064"/>
  </r>
  <r>
    <x v="9"/>
    <s v="Davidson County Community College "/>
    <n v="198376"/>
    <x v="7"/>
    <s v="sem"/>
    <s v="sem"/>
    <m/>
    <m/>
    <n v="46713.3"/>
    <n v="51870"/>
    <n v="15319.2"/>
    <n v="17490"/>
    <n v="51677.7"/>
    <n v="55740"/>
    <n v="113710.2"/>
    <n v="4794.3"/>
    <n v="3790.3399999999997"/>
    <n v="125100"/>
    <n v="5775"/>
    <n v="4170"/>
    <m/>
    <m/>
    <m/>
    <m/>
    <m/>
    <m/>
    <m/>
    <m/>
    <n v="0"/>
    <m/>
    <n v="0"/>
    <n v="0"/>
    <m/>
    <n v="0"/>
    <m/>
    <m/>
    <m/>
    <m/>
    <m/>
    <m/>
    <m/>
    <m/>
    <n v="0"/>
    <n v="0"/>
    <n v="0"/>
    <n v="0"/>
    <n v="3790.3399999999997"/>
    <n v="4170"/>
  </r>
  <r>
    <x v="9"/>
    <s v="Edgecombe Community College"/>
    <n v="198491"/>
    <x v="7"/>
    <s v="sem"/>
    <s v="sem"/>
    <m/>
    <m/>
    <n v="31644"/>
    <n v="31140"/>
    <n v="11615.1"/>
    <n v="10470"/>
    <n v="29290.5"/>
    <n v="34230"/>
    <n v="72549.600000000006"/>
    <n v="5900.7"/>
    <n v="2418.3200000000002"/>
    <n v="75840"/>
    <n v="3350.7"/>
    <n v="2528"/>
    <m/>
    <m/>
    <m/>
    <m/>
    <m/>
    <m/>
    <m/>
    <m/>
    <n v="0"/>
    <m/>
    <n v="0"/>
    <n v="0"/>
    <m/>
    <n v="0"/>
    <m/>
    <m/>
    <m/>
    <m/>
    <m/>
    <m/>
    <m/>
    <m/>
    <n v="0"/>
    <n v="0"/>
    <n v="0"/>
    <n v="0"/>
    <n v="2418.3200000000002"/>
    <n v="2528"/>
  </r>
  <r>
    <x v="9"/>
    <s v="Gaston College "/>
    <n v="198570"/>
    <x v="7"/>
    <s v="sem"/>
    <s v="sem"/>
    <m/>
    <m/>
    <n v="65707.5"/>
    <n v="66090"/>
    <n v="15223.8"/>
    <n v="17160"/>
    <n v="68744.7"/>
    <n v="74100"/>
    <n v="149676"/>
    <n v="5564.1"/>
    <n v="4989.2"/>
    <n v="157350"/>
    <n v="6891.3"/>
    <n v="5245"/>
    <m/>
    <m/>
    <m/>
    <m/>
    <m/>
    <m/>
    <m/>
    <m/>
    <n v="0"/>
    <m/>
    <n v="0"/>
    <n v="0"/>
    <m/>
    <n v="0"/>
    <m/>
    <m/>
    <m/>
    <m/>
    <m/>
    <m/>
    <m/>
    <m/>
    <n v="0"/>
    <n v="0"/>
    <n v="0"/>
    <n v="0"/>
    <n v="4989.2"/>
    <n v="5245"/>
  </r>
  <r>
    <x v="9"/>
    <s v="Haywood Community College"/>
    <n v="198668"/>
    <x v="7"/>
    <s v="sem"/>
    <s v="sem"/>
    <m/>
    <m/>
    <n v="26208.6"/>
    <n v="26010"/>
    <n v="6795.3"/>
    <n v="6840"/>
    <n v="29013.599999999999"/>
    <n v="28170"/>
    <n v="62017.5"/>
    <n v="8874.2999999999993"/>
    <n v="2067.25"/>
    <n v="61020"/>
    <n v="9819"/>
    <n v="2034"/>
    <m/>
    <m/>
    <m/>
    <m/>
    <m/>
    <m/>
    <m/>
    <m/>
    <n v="0"/>
    <m/>
    <n v="0"/>
    <n v="0"/>
    <m/>
    <n v="0"/>
    <m/>
    <m/>
    <m/>
    <m/>
    <m/>
    <m/>
    <m/>
    <m/>
    <n v="0"/>
    <n v="0"/>
    <n v="0"/>
    <n v="0"/>
    <n v="2067.25"/>
    <n v="2034"/>
  </r>
  <r>
    <x v="9"/>
    <s v="Isothermal Community College "/>
    <n v="198710"/>
    <x v="7"/>
    <s v="sem"/>
    <s v="sem"/>
    <m/>
    <m/>
    <n v="30468.3"/>
    <n v="28710"/>
    <n v="9210.2999999999993"/>
    <n v="10710"/>
    <n v="31934.1"/>
    <n v="32820"/>
    <n v="71612.7"/>
    <n v="4916.7"/>
    <n v="2387.0899999999997"/>
    <n v="72240"/>
    <n v="6355.5"/>
    <n v="2408"/>
    <m/>
    <m/>
    <m/>
    <m/>
    <m/>
    <m/>
    <m/>
    <m/>
    <n v="0"/>
    <m/>
    <n v="0"/>
    <n v="0"/>
    <m/>
    <n v="0"/>
    <m/>
    <m/>
    <m/>
    <m/>
    <m/>
    <m/>
    <m/>
    <m/>
    <n v="0"/>
    <n v="0"/>
    <n v="0"/>
    <n v="0"/>
    <n v="2387.0899999999997"/>
    <n v="2408"/>
  </r>
  <r>
    <x v="9"/>
    <s v="Johnston Community College"/>
    <n v="198774"/>
    <x v="7"/>
    <s v="sem"/>
    <s v="sem"/>
    <m/>
    <m/>
    <n v="53734.2"/>
    <n v="59580"/>
    <n v="13241.4"/>
    <n v="13350"/>
    <n v="61606.8"/>
    <n v="62700"/>
    <n v="128582.39999999999"/>
    <n v="13964.1"/>
    <n v="4286.08"/>
    <n v="135630"/>
    <n v="16101.6"/>
    <n v="4521"/>
    <m/>
    <m/>
    <m/>
    <m/>
    <m/>
    <m/>
    <m/>
    <m/>
    <n v="0"/>
    <m/>
    <n v="0"/>
    <n v="0"/>
    <m/>
    <n v="0"/>
    <m/>
    <m/>
    <m/>
    <m/>
    <m/>
    <m/>
    <m/>
    <m/>
    <n v="0"/>
    <n v="0"/>
    <n v="0"/>
    <n v="0"/>
    <n v="4286.08"/>
    <n v="4521"/>
  </r>
  <r>
    <x v="9"/>
    <s v="Lenoir Community College "/>
    <n v="198817"/>
    <x v="7"/>
    <s v="sem"/>
    <s v="sem"/>
    <m/>
    <m/>
    <n v="44351.7"/>
    <n v="47910"/>
    <n v="16758.3"/>
    <n v="17970"/>
    <n v="46166.1"/>
    <n v="50040"/>
    <n v="107276.1"/>
    <n v="3052.5"/>
    <n v="3575.8700000000003"/>
    <n v="115920"/>
    <n v="4818.8999999999996"/>
    <n v="3864"/>
    <m/>
    <m/>
    <m/>
    <m/>
    <m/>
    <m/>
    <m/>
    <m/>
    <n v="0"/>
    <m/>
    <n v="0"/>
    <n v="0"/>
    <m/>
    <n v="0"/>
    <m/>
    <m/>
    <m/>
    <m/>
    <m/>
    <m/>
    <m/>
    <m/>
    <n v="0"/>
    <n v="0"/>
    <n v="0"/>
    <n v="0"/>
    <n v="3575.8700000000003"/>
    <n v="3864"/>
  </r>
  <r>
    <x v="9"/>
    <s v="Mayland Community College"/>
    <n v="198914"/>
    <x v="7"/>
    <s v="sem"/>
    <s v="sem"/>
    <m/>
    <m/>
    <n v="25375.5"/>
    <n v="26160"/>
    <n v="8866.2000000000007"/>
    <n v="8550"/>
    <n v="25807.200000000001"/>
    <n v="26550"/>
    <n v="60048.899999999994"/>
    <n v="7551.6"/>
    <n v="2001.6299999999999"/>
    <n v="61260"/>
    <n v="7393.8"/>
    <n v="2042"/>
    <m/>
    <m/>
    <m/>
    <m/>
    <m/>
    <m/>
    <m/>
    <m/>
    <n v="0"/>
    <m/>
    <n v="0"/>
    <n v="0"/>
    <m/>
    <n v="0"/>
    <m/>
    <m/>
    <m/>
    <m/>
    <m/>
    <m/>
    <m/>
    <m/>
    <n v="0"/>
    <n v="0"/>
    <n v="0"/>
    <n v="0"/>
    <n v="2001.6299999999999"/>
    <n v="2042"/>
  </r>
  <r>
    <x v="9"/>
    <s v="Mitchell Community College "/>
    <n v="198987"/>
    <x v="7"/>
    <s v="sem"/>
    <s v="sem"/>
    <m/>
    <m/>
    <n v="30348.3"/>
    <n v="34350"/>
    <n v="8579.7000000000007"/>
    <n v="9720"/>
    <n v="34473.300000000003"/>
    <n v="38970"/>
    <n v="73401.3"/>
    <n v="3261.6"/>
    <n v="2446.71"/>
    <n v="83040"/>
    <n v="2363.4"/>
    <n v="2768"/>
    <m/>
    <m/>
    <m/>
    <m/>
    <m/>
    <m/>
    <m/>
    <m/>
    <n v="0"/>
    <m/>
    <n v="0"/>
    <n v="0"/>
    <m/>
    <n v="0"/>
    <m/>
    <m/>
    <m/>
    <m/>
    <m/>
    <m/>
    <m/>
    <m/>
    <n v="0"/>
    <n v="0"/>
    <n v="0"/>
    <n v="0"/>
    <n v="2446.71"/>
    <n v="2768"/>
  </r>
  <r>
    <x v="9"/>
    <s v="Nash Community College"/>
    <n v="199087"/>
    <x v="7"/>
    <s v="sem"/>
    <s v="sem"/>
    <m/>
    <m/>
    <n v="34855.800000000003"/>
    <n v="35790"/>
    <n v="7971.3"/>
    <n v="8700"/>
    <n v="38862"/>
    <n v="38610"/>
    <n v="81689.100000000006"/>
    <n v="4656.6000000000004"/>
    <n v="2722.9700000000003"/>
    <n v="83100"/>
    <n v="5916.6"/>
    <n v="2770"/>
    <m/>
    <m/>
    <m/>
    <m/>
    <m/>
    <m/>
    <m/>
    <m/>
    <n v="0"/>
    <m/>
    <n v="0"/>
    <n v="0"/>
    <m/>
    <n v="0"/>
    <m/>
    <m/>
    <m/>
    <m/>
    <m/>
    <m/>
    <m/>
    <m/>
    <n v="0"/>
    <n v="0"/>
    <n v="0"/>
    <n v="0"/>
    <n v="2722.9700000000003"/>
    <n v="2770"/>
  </r>
  <r>
    <x v="9"/>
    <s v="Piedmont Community College"/>
    <n v="199324"/>
    <x v="7"/>
    <s v="sem"/>
    <s v="sem"/>
    <m/>
    <m/>
    <n v="38240.1"/>
    <n v="37890"/>
    <n v="10003.5"/>
    <n v="8850"/>
    <n v="39345.300000000003"/>
    <n v="39900"/>
    <n v="87588.9"/>
    <n v="13527.9"/>
    <n v="2919.6299999999997"/>
    <n v="86640"/>
    <n v="14401.2"/>
    <n v="2888"/>
    <m/>
    <m/>
    <m/>
    <m/>
    <m/>
    <m/>
    <m/>
    <m/>
    <n v="0"/>
    <m/>
    <n v="0"/>
    <n v="0"/>
    <m/>
    <n v="0"/>
    <m/>
    <m/>
    <m/>
    <m/>
    <m/>
    <m/>
    <m/>
    <m/>
    <n v="0"/>
    <n v="0"/>
    <n v="0"/>
    <n v="0"/>
    <n v="2919.6299999999997"/>
    <n v="2888"/>
  </r>
  <r>
    <x v="9"/>
    <s v="Randolph Community College"/>
    <n v="199421"/>
    <x v="7"/>
    <s v="sem"/>
    <s v="sem"/>
    <m/>
    <m/>
    <n v="32471.1"/>
    <n v="33210"/>
    <n v="15437.1"/>
    <n v="13980"/>
    <n v="34741.800000000003"/>
    <n v="36690"/>
    <n v="82650"/>
    <n v="2985"/>
    <n v="2755"/>
    <n v="83880"/>
    <n v="4573.2"/>
    <n v="2796"/>
    <m/>
    <m/>
    <m/>
    <m/>
    <m/>
    <m/>
    <m/>
    <m/>
    <n v="0"/>
    <m/>
    <n v="0"/>
    <n v="0"/>
    <m/>
    <n v="0"/>
    <m/>
    <m/>
    <m/>
    <m/>
    <m/>
    <m/>
    <m/>
    <m/>
    <n v="0"/>
    <n v="0"/>
    <n v="0"/>
    <n v="0"/>
    <n v="2755"/>
    <n v="2796"/>
  </r>
  <r>
    <x v="9"/>
    <s v="Richmond Community College"/>
    <n v="199449"/>
    <x v="7"/>
    <s v="sem"/>
    <s v="sem"/>
    <m/>
    <m/>
    <n v="27529.200000000001"/>
    <n v="28410"/>
    <n v="9811.7999999999993"/>
    <n v="9960"/>
    <n v="29733"/>
    <n v="29580"/>
    <n v="67074"/>
    <n v="819.3"/>
    <n v="2235.8000000000002"/>
    <n v="67950"/>
    <n v="1954.2"/>
    <n v="2265"/>
    <m/>
    <m/>
    <m/>
    <m/>
    <m/>
    <m/>
    <m/>
    <m/>
    <n v="0"/>
    <m/>
    <n v="0"/>
    <n v="0"/>
    <m/>
    <n v="0"/>
    <m/>
    <m/>
    <m/>
    <m/>
    <m/>
    <m/>
    <m/>
    <m/>
    <n v="0"/>
    <n v="0"/>
    <n v="0"/>
    <n v="0"/>
    <n v="2235.8000000000002"/>
    <n v="2265"/>
  </r>
  <r>
    <x v="9"/>
    <s v="Robeson Community College"/>
    <n v="199476"/>
    <x v="7"/>
    <s v="sem"/>
    <s v="sem"/>
    <m/>
    <m/>
    <n v="49696.5"/>
    <n v="47250"/>
    <n v="20427.900000000001"/>
    <n v="18420"/>
    <n v="48988.800000000003"/>
    <n v="50850"/>
    <n v="119113.2"/>
    <n v="1025.6999999999998"/>
    <n v="3970.44"/>
    <n v="116520"/>
    <n v="1586.4"/>
    <n v="3884"/>
    <m/>
    <m/>
    <m/>
    <m/>
    <m/>
    <m/>
    <m/>
    <m/>
    <n v="0"/>
    <m/>
    <n v="0"/>
    <n v="0"/>
    <m/>
    <n v="0"/>
    <m/>
    <m/>
    <m/>
    <m/>
    <m/>
    <m/>
    <m/>
    <m/>
    <n v="0"/>
    <n v="0"/>
    <n v="0"/>
    <n v="0"/>
    <n v="3970.44"/>
    <n v="3884"/>
  </r>
  <r>
    <x v="9"/>
    <s v="Rockingham Community College "/>
    <n v="199485"/>
    <x v="7"/>
    <s v="sem"/>
    <s v="sem"/>
    <m/>
    <m/>
    <n v="28234.5"/>
    <n v="27180"/>
    <n v="8923.7999999999993"/>
    <n v="9120"/>
    <n v="30387.9"/>
    <n v="30870"/>
    <n v="67546.200000000012"/>
    <n v="700.2"/>
    <n v="2251.5400000000004"/>
    <n v="67170"/>
    <n v="718.2"/>
    <n v="2239"/>
    <m/>
    <m/>
    <m/>
    <m/>
    <m/>
    <m/>
    <m/>
    <m/>
    <n v="0"/>
    <m/>
    <n v="0"/>
    <n v="0"/>
    <m/>
    <n v="0"/>
    <m/>
    <m/>
    <m/>
    <m/>
    <m/>
    <m/>
    <m/>
    <m/>
    <n v="0"/>
    <n v="0"/>
    <n v="0"/>
    <n v="0"/>
    <n v="2251.5400000000004"/>
    <n v="2239"/>
  </r>
  <r>
    <x v="9"/>
    <s v="Sandhills Community College "/>
    <n v="199634"/>
    <x v="7"/>
    <s v="sem"/>
    <s v="sem"/>
    <m/>
    <m/>
    <n v="52218.9"/>
    <n v="52860"/>
    <n v="15322.2"/>
    <n v="16230"/>
    <n v="54869.1"/>
    <n v="55950"/>
    <n v="122410.20000000001"/>
    <n v="5536.8"/>
    <n v="4080.3400000000006"/>
    <n v="125040"/>
    <n v="6424.8"/>
    <n v="4168"/>
    <m/>
    <m/>
    <m/>
    <m/>
    <m/>
    <m/>
    <m/>
    <m/>
    <n v="0"/>
    <m/>
    <n v="0"/>
    <n v="0"/>
    <m/>
    <n v="0"/>
    <m/>
    <m/>
    <m/>
    <m/>
    <m/>
    <m/>
    <m/>
    <m/>
    <n v="0"/>
    <n v="0"/>
    <n v="0"/>
    <n v="0"/>
    <n v="4080.3400000000006"/>
    <n v="4168"/>
  </r>
  <r>
    <x v="9"/>
    <s v="South Piedmont Community College"/>
    <n v="197850"/>
    <x v="7"/>
    <s v="sem"/>
    <s v="sem"/>
    <m/>
    <m/>
    <n v="29047.8"/>
    <n v="31920"/>
    <n v="8410.5"/>
    <n v="10200"/>
    <n v="31284.3"/>
    <n v="34830"/>
    <n v="68742.600000000006"/>
    <n v="2486.6999999999998"/>
    <n v="2291.42"/>
    <n v="76950"/>
    <n v="2736.6"/>
    <n v="2565"/>
    <m/>
    <m/>
    <m/>
    <m/>
    <m/>
    <m/>
    <m/>
    <m/>
    <n v="0"/>
    <m/>
    <n v="0"/>
    <n v="0"/>
    <m/>
    <n v="0"/>
    <m/>
    <m/>
    <m/>
    <m/>
    <m/>
    <m/>
    <m/>
    <m/>
    <n v="0"/>
    <n v="0"/>
    <n v="0"/>
    <n v="0"/>
    <n v="2291.42"/>
    <n v="2565"/>
  </r>
  <r>
    <x v="9"/>
    <s v="Southeastern Community College "/>
    <n v="199722"/>
    <x v="7"/>
    <s v="sem"/>
    <s v="sem"/>
    <m/>
    <m/>
    <n v="34295.1"/>
    <n v="33750"/>
    <n v="10899.6"/>
    <n v="10320"/>
    <n v="33498.9"/>
    <n v="36210"/>
    <n v="78693.600000000006"/>
    <n v="3004.7999999999997"/>
    <n v="2623.1200000000003"/>
    <n v="80280"/>
    <n v="3751.8"/>
    <n v="2676"/>
    <m/>
    <m/>
    <m/>
    <m/>
    <m/>
    <m/>
    <m/>
    <m/>
    <n v="0"/>
    <m/>
    <n v="0"/>
    <n v="0"/>
    <m/>
    <n v="0"/>
    <m/>
    <m/>
    <m/>
    <m/>
    <m/>
    <m/>
    <m/>
    <m/>
    <n v="0"/>
    <n v="0"/>
    <n v="0"/>
    <n v="0"/>
    <n v="2623.1200000000003"/>
    <n v="2676"/>
  </r>
  <r>
    <x v="9"/>
    <s v="Southwestern Community College "/>
    <n v="199731"/>
    <x v="7"/>
    <s v="sem"/>
    <s v="sem"/>
    <m/>
    <m/>
    <n v="31130.1"/>
    <n v="31800"/>
    <n v="8774.1"/>
    <n v="10020"/>
    <n v="32337.3"/>
    <n v="35790"/>
    <n v="72241.5"/>
    <n v="5305.2"/>
    <n v="2408.0500000000002"/>
    <n v="77610"/>
    <n v="5591.7"/>
    <n v="2587"/>
    <m/>
    <m/>
    <m/>
    <m/>
    <m/>
    <m/>
    <m/>
    <m/>
    <n v="0"/>
    <m/>
    <n v="0"/>
    <n v="0"/>
    <m/>
    <n v="0"/>
    <m/>
    <m/>
    <m/>
    <m/>
    <m/>
    <m/>
    <m/>
    <m/>
    <n v="0"/>
    <n v="0"/>
    <n v="0"/>
    <n v="0"/>
    <n v="2408.0500000000002"/>
    <n v="2587"/>
  </r>
  <r>
    <x v="9"/>
    <s v="Stanly Community College"/>
    <n v="199740"/>
    <x v="7"/>
    <s v="sem"/>
    <s v="sem"/>
    <m/>
    <m/>
    <n v="31729.8"/>
    <n v="33600"/>
    <n v="11306.7"/>
    <n v="12390"/>
    <n v="36682.800000000003"/>
    <n v="38340"/>
    <n v="79719.3"/>
    <n v="1945.4999999999998"/>
    <n v="2657.31"/>
    <n v="84330"/>
    <n v="2184.9"/>
    <n v="2811"/>
    <m/>
    <m/>
    <m/>
    <m/>
    <m/>
    <m/>
    <m/>
    <m/>
    <n v="0"/>
    <m/>
    <n v="0"/>
    <n v="0"/>
    <m/>
    <n v="0"/>
    <m/>
    <m/>
    <m/>
    <m/>
    <m/>
    <m/>
    <m/>
    <m/>
    <n v="0"/>
    <n v="0"/>
    <n v="0"/>
    <n v="0"/>
    <n v="2657.31"/>
    <n v="2811"/>
  </r>
  <r>
    <x v="9"/>
    <s v="Surry Community College "/>
    <n v="199768"/>
    <x v="7"/>
    <s v="sem"/>
    <s v="sem"/>
    <m/>
    <m/>
    <n v="39643.199999999997"/>
    <n v="45870"/>
    <n v="13994.1"/>
    <n v="15660"/>
    <n v="48246.9"/>
    <n v="50220"/>
    <n v="101884.2"/>
    <n v="4574.3999999999996"/>
    <n v="3396.14"/>
    <n v="111750"/>
    <n v="5393.4"/>
    <n v="3725"/>
    <m/>
    <m/>
    <m/>
    <m/>
    <m/>
    <m/>
    <m/>
    <m/>
    <n v="0"/>
    <m/>
    <n v="0"/>
    <n v="0"/>
    <m/>
    <n v="0"/>
    <m/>
    <m/>
    <m/>
    <m/>
    <m/>
    <m/>
    <m/>
    <m/>
    <n v="0"/>
    <n v="0"/>
    <n v="0"/>
    <n v="0"/>
    <n v="3396.14"/>
    <n v="3725"/>
  </r>
  <r>
    <x v="9"/>
    <s v="Vance-Granville Community College "/>
    <n v="199838"/>
    <x v="7"/>
    <s v="sem"/>
    <s v="sem"/>
    <m/>
    <m/>
    <n v="58582.8"/>
    <n v="58950"/>
    <n v="19345.5"/>
    <n v="18210"/>
    <n v="60859.5"/>
    <n v="65460"/>
    <n v="138787.79999999999"/>
    <n v="7139.7000000000007"/>
    <n v="4626.2599999999993"/>
    <n v="142620"/>
    <n v="9395.7000000000007"/>
    <n v="4754"/>
    <m/>
    <m/>
    <m/>
    <m/>
    <m/>
    <m/>
    <m/>
    <m/>
    <n v="0"/>
    <m/>
    <n v="0"/>
    <n v="0"/>
    <m/>
    <n v="0"/>
    <m/>
    <m/>
    <m/>
    <m/>
    <m/>
    <m/>
    <m/>
    <m/>
    <n v="0"/>
    <n v="0"/>
    <n v="0"/>
    <n v="0"/>
    <n v="4626.2599999999993"/>
    <n v="4754"/>
  </r>
  <r>
    <x v="9"/>
    <s v="Wayne Community College"/>
    <n v="199892"/>
    <x v="7"/>
    <s v="sem"/>
    <s v="sem"/>
    <m/>
    <m/>
    <n v="47070"/>
    <n v="49020"/>
    <n v="15581.4"/>
    <n v="17190"/>
    <n v="50458.5"/>
    <n v="52440"/>
    <n v="113109.9"/>
    <n v="2666.3999999999996"/>
    <n v="3770.33"/>
    <n v="118650"/>
    <n v="3508.2"/>
    <n v="3955"/>
    <m/>
    <m/>
    <m/>
    <m/>
    <m/>
    <m/>
    <m/>
    <m/>
    <n v="0"/>
    <m/>
    <n v="0"/>
    <n v="0"/>
    <m/>
    <n v="0"/>
    <m/>
    <m/>
    <m/>
    <m/>
    <m/>
    <m/>
    <m/>
    <m/>
    <n v="0"/>
    <n v="0"/>
    <n v="0"/>
    <n v="0"/>
    <n v="3770.33"/>
    <n v="3955"/>
  </r>
  <r>
    <x v="9"/>
    <s v="Western Piedmont Community College "/>
    <n v="199908"/>
    <x v="7"/>
    <s v="sem"/>
    <s v="sem"/>
    <m/>
    <m/>
    <n v="41809.5"/>
    <n v="44250"/>
    <n v="15765.6"/>
    <n v="15420"/>
    <n v="43370.7"/>
    <n v="45660"/>
    <n v="100945.79999999999"/>
    <n v="2145"/>
    <n v="3364.8599999999997"/>
    <n v="105330"/>
    <n v="3447.2999999999997"/>
    <n v="3511"/>
    <m/>
    <m/>
    <m/>
    <m/>
    <m/>
    <m/>
    <m/>
    <m/>
    <n v="0"/>
    <m/>
    <n v="0"/>
    <n v="0"/>
    <m/>
    <n v="0"/>
    <m/>
    <m/>
    <m/>
    <m/>
    <m/>
    <m/>
    <m/>
    <m/>
    <n v="0"/>
    <n v="0"/>
    <n v="0"/>
    <n v="0"/>
    <n v="3364.8599999999997"/>
    <n v="3511"/>
  </r>
  <r>
    <x v="9"/>
    <s v="Wilkes Community College "/>
    <n v="199926"/>
    <x v="7"/>
    <s v="sem"/>
    <s v="sem"/>
    <m/>
    <m/>
    <n v="38071.5"/>
    <n v="37530"/>
    <n v="10803.6"/>
    <n v="10590"/>
    <n v="40681.199999999997"/>
    <n v="42690"/>
    <n v="89556.299999999988"/>
    <n v="4501.8"/>
    <n v="2985.2099999999996"/>
    <n v="90810"/>
    <n v="5128.8"/>
    <n v="3027"/>
    <m/>
    <m/>
    <m/>
    <m/>
    <m/>
    <m/>
    <m/>
    <m/>
    <n v="0"/>
    <m/>
    <n v="0"/>
    <n v="0"/>
    <m/>
    <n v="0"/>
    <m/>
    <m/>
    <m/>
    <m/>
    <m/>
    <m/>
    <m/>
    <m/>
    <n v="0"/>
    <n v="0"/>
    <n v="0"/>
    <n v="0"/>
    <n v="2985.2099999999996"/>
    <n v="3027"/>
  </r>
  <r>
    <x v="9"/>
    <s v="Wilson Technical Community College"/>
    <n v="199953"/>
    <x v="7"/>
    <s v="sem"/>
    <s v="sem"/>
    <m/>
    <m/>
    <n v="29121.3"/>
    <n v="29130"/>
    <n v="15918.9"/>
    <n v="13830"/>
    <n v="27695.4"/>
    <n v="29250"/>
    <n v="72735.600000000006"/>
    <n v="533.40000000000009"/>
    <n v="2424.52"/>
    <n v="72210"/>
    <n v="432.3"/>
    <n v="2407"/>
    <m/>
    <m/>
    <m/>
    <m/>
    <m/>
    <m/>
    <m/>
    <m/>
    <n v="0"/>
    <m/>
    <n v="0"/>
    <n v="0"/>
    <m/>
    <n v="0"/>
    <m/>
    <m/>
    <m/>
    <m/>
    <m/>
    <m/>
    <m/>
    <m/>
    <n v="0"/>
    <n v="0"/>
    <n v="0"/>
    <n v="0"/>
    <n v="2424.52"/>
    <n v="2407"/>
  </r>
  <r>
    <x v="9"/>
    <s v="Beaufort County Community College "/>
    <n v="197966"/>
    <x v="8"/>
    <s v="sem"/>
    <s v="sem"/>
    <m/>
    <m/>
    <n v="24696.6"/>
    <n v="24690"/>
    <n v="6565.2"/>
    <n v="6810"/>
    <n v="25010.400000000001"/>
    <n v="26880"/>
    <n v="56272.2"/>
    <n v="2378.4"/>
    <n v="1875.74"/>
    <n v="58380"/>
    <n v="2008.1999999999998"/>
    <n v="1946"/>
    <m/>
    <m/>
    <m/>
    <m/>
    <m/>
    <m/>
    <m/>
    <m/>
    <n v="0"/>
    <m/>
    <n v="0"/>
    <n v="0"/>
    <m/>
    <n v="0"/>
    <m/>
    <m/>
    <m/>
    <m/>
    <m/>
    <m/>
    <m/>
    <m/>
    <n v="0"/>
    <n v="0"/>
    <n v="0"/>
    <n v="0"/>
    <n v="1875.74"/>
    <n v="1946"/>
  </r>
  <r>
    <x v="9"/>
    <s v="Bladen Community College"/>
    <n v="198011"/>
    <x v="8"/>
    <s v="sem"/>
    <s v="sem"/>
    <m/>
    <m/>
    <n v="19965.599999999999"/>
    <n v="20460"/>
    <n v="4088.7"/>
    <n v="4890"/>
    <n v="19961.400000000001"/>
    <n v="21480"/>
    <n v="44015.7"/>
    <n v="2493.8999999999996"/>
    <n v="1467.1899999999998"/>
    <n v="46830"/>
    <n v="2605.2000000000003"/>
    <n v="1561"/>
    <m/>
    <m/>
    <m/>
    <m/>
    <m/>
    <m/>
    <m/>
    <m/>
    <n v="0"/>
    <m/>
    <n v="0"/>
    <n v="0"/>
    <m/>
    <n v="0"/>
    <m/>
    <m/>
    <m/>
    <m/>
    <m/>
    <m/>
    <m/>
    <m/>
    <n v="0"/>
    <n v="0"/>
    <n v="0"/>
    <n v="0"/>
    <n v="1467.1899999999998"/>
    <n v="1561"/>
  </r>
  <r>
    <x v="9"/>
    <s v="Brunswick Community College"/>
    <n v="198084"/>
    <x v="8"/>
    <s v="sem"/>
    <s v="sem"/>
    <m/>
    <m/>
    <n v="20350.5"/>
    <n v="21120"/>
    <n v="4596"/>
    <n v="4920"/>
    <n v="22851"/>
    <n v="23910"/>
    <n v="47797.5"/>
    <n v="1608.6"/>
    <n v="1593.25"/>
    <n v="49950"/>
    <n v="2625.6"/>
    <n v="1665"/>
    <m/>
    <m/>
    <m/>
    <m/>
    <m/>
    <m/>
    <m/>
    <m/>
    <n v="0"/>
    <m/>
    <n v="0"/>
    <n v="0"/>
    <m/>
    <n v="0"/>
    <m/>
    <m/>
    <m/>
    <m/>
    <m/>
    <m/>
    <m/>
    <m/>
    <n v="0"/>
    <n v="0"/>
    <n v="0"/>
    <n v="0"/>
    <n v="1593.25"/>
    <n v="1665"/>
  </r>
  <r>
    <x v="9"/>
    <s v="Carteret Community College"/>
    <n v="198206"/>
    <x v="8"/>
    <s v="sem"/>
    <s v="sem"/>
    <m/>
    <m/>
    <n v="24235.8"/>
    <n v="24900"/>
    <n v="8898.6"/>
    <n v="9180"/>
    <n v="24967.200000000001"/>
    <n v="25740"/>
    <n v="58101.600000000006"/>
    <n v="1278"/>
    <n v="1936.7200000000003"/>
    <n v="59820"/>
    <n v="1137.6000000000001"/>
    <n v="1994"/>
    <m/>
    <m/>
    <m/>
    <m/>
    <m/>
    <m/>
    <m/>
    <m/>
    <n v="0"/>
    <m/>
    <n v="0"/>
    <n v="0"/>
    <m/>
    <n v="0"/>
    <m/>
    <m/>
    <m/>
    <m/>
    <m/>
    <m/>
    <m/>
    <m/>
    <n v="0"/>
    <n v="0"/>
    <n v="0"/>
    <n v="0"/>
    <n v="1936.7200000000003"/>
    <n v="1994"/>
  </r>
  <r>
    <x v="9"/>
    <s v="Halifax Community College "/>
    <n v="198640"/>
    <x v="8"/>
    <s v="sem"/>
    <s v="sem"/>
    <m/>
    <m/>
    <n v="21766.799999999999"/>
    <n v="22260"/>
    <n v="5042.1000000000004"/>
    <n v="4800"/>
    <n v="22463.7"/>
    <n v="23610"/>
    <n v="49272.600000000006"/>
    <n v="960"/>
    <n v="1642.4200000000003"/>
    <n v="50670"/>
    <n v="1017.3"/>
    <n v="1689"/>
    <m/>
    <m/>
    <m/>
    <m/>
    <m/>
    <m/>
    <m/>
    <m/>
    <n v="0"/>
    <m/>
    <n v="0"/>
    <n v="0"/>
    <m/>
    <n v="0"/>
    <m/>
    <m/>
    <m/>
    <m/>
    <m/>
    <m/>
    <m/>
    <m/>
    <n v="0"/>
    <n v="0"/>
    <n v="0"/>
    <n v="0"/>
    <n v="1642.4200000000003"/>
    <n v="1689"/>
  </r>
  <r>
    <x v="9"/>
    <s v="James Sprunt Community College"/>
    <n v="198729"/>
    <x v="8"/>
    <s v="sem"/>
    <s v="sem"/>
    <m/>
    <m/>
    <n v="19309.2"/>
    <n v="18030"/>
    <n v="4743.3"/>
    <n v="5550"/>
    <n v="19431.599999999999"/>
    <n v="20430"/>
    <n v="43484.1"/>
    <n v="1989.8999999999999"/>
    <n v="1449.47"/>
    <n v="44010"/>
    <n v="2028.8999999999999"/>
    <n v="1467"/>
    <m/>
    <m/>
    <m/>
    <m/>
    <m/>
    <m/>
    <m/>
    <m/>
    <n v="0"/>
    <m/>
    <n v="0"/>
    <n v="0"/>
    <m/>
    <n v="0"/>
    <m/>
    <m/>
    <m/>
    <m/>
    <m/>
    <m/>
    <m/>
    <m/>
    <n v="0"/>
    <n v="0"/>
    <n v="0"/>
    <n v="0"/>
    <n v="1449.47"/>
    <n v="1467"/>
  </r>
  <r>
    <x v="9"/>
    <s v="Martin Community College "/>
    <n v="198905"/>
    <x v="8"/>
    <s v="sem"/>
    <s v="sem"/>
    <m/>
    <m/>
    <n v="12845.4"/>
    <n v="11100"/>
    <n v="3605.4"/>
    <n v="3900"/>
    <n v="13745.4"/>
    <n v="12180"/>
    <n v="30196.199999999997"/>
    <n v="2298"/>
    <n v="1006.5399999999998"/>
    <n v="27180"/>
    <n v="2074.5"/>
    <n v="906"/>
    <m/>
    <m/>
    <m/>
    <m/>
    <m/>
    <m/>
    <m/>
    <m/>
    <n v="0"/>
    <m/>
    <n v="0"/>
    <n v="0"/>
    <m/>
    <n v="0"/>
    <m/>
    <m/>
    <m/>
    <m/>
    <m/>
    <m/>
    <m/>
    <m/>
    <n v="0"/>
    <n v="0"/>
    <n v="0"/>
    <n v="0"/>
    <n v="1006.5399999999998"/>
    <n v="906"/>
  </r>
  <r>
    <x v="9"/>
    <s v="McDowell Technical Community College"/>
    <n v="198923"/>
    <x v="8"/>
    <s v="sem"/>
    <s v="sem"/>
    <m/>
    <m/>
    <n v="18022.5"/>
    <n v="17790"/>
    <n v="7836.6"/>
    <n v="7470"/>
    <n v="16310.1"/>
    <n v="20580"/>
    <n v="42169.2"/>
    <n v="1836.6"/>
    <n v="1405.6399999999999"/>
    <n v="45840"/>
    <n v="1922.7"/>
    <n v="1528"/>
    <m/>
    <m/>
    <m/>
    <m/>
    <m/>
    <m/>
    <m/>
    <m/>
    <n v="0"/>
    <m/>
    <n v="0"/>
    <n v="0"/>
    <m/>
    <n v="0"/>
    <m/>
    <m/>
    <m/>
    <m/>
    <m/>
    <m/>
    <m/>
    <m/>
    <n v="0"/>
    <n v="0"/>
    <n v="0"/>
    <n v="0"/>
    <n v="1405.6399999999999"/>
    <n v="1528"/>
  </r>
  <r>
    <x v="9"/>
    <s v="Montgomery Community College"/>
    <n v="199023"/>
    <x v="8"/>
    <s v="sem"/>
    <s v="sem"/>
    <m/>
    <m/>
    <n v="14004.3"/>
    <n v="14190"/>
    <n v="4826.7"/>
    <n v="4590"/>
    <n v="15203.4"/>
    <n v="14790"/>
    <n v="34034.400000000001"/>
    <n v="939.9"/>
    <n v="1134.48"/>
    <n v="33570"/>
    <n v="594.29999999999995"/>
    <n v="1119"/>
    <m/>
    <m/>
    <m/>
    <m/>
    <m/>
    <m/>
    <m/>
    <m/>
    <n v="0"/>
    <m/>
    <n v="0"/>
    <n v="0"/>
    <m/>
    <n v="0"/>
    <m/>
    <m/>
    <m/>
    <m/>
    <m/>
    <m/>
    <m/>
    <m/>
    <n v="0"/>
    <n v="0"/>
    <n v="0"/>
    <n v="0"/>
    <n v="1134.48"/>
    <n v="1119"/>
  </r>
  <r>
    <x v="9"/>
    <s v="Pamlico Community College"/>
    <n v="199263"/>
    <x v="8"/>
    <s v="sem"/>
    <s v="sem"/>
    <m/>
    <m/>
    <n v="7357.2"/>
    <n v="7170"/>
    <n v="2593.1999999999998"/>
    <n v="2460"/>
    <n v="7427.7"/>
    <n v="8310"/>
    <n v="17378.099999999999"/>
    <n v="1413.9"/>
    <n v="579.27"/>
    <n v="17940"/>
    <n v="763.2"/>
    <n v="598"/>
    <m/>
    <m/>
    <m/>
    <m/>
    <m/>
    <m/>
    <m/>
    <m/>
    <n v="0"/>
    <m/>
    <n v="0"/>
    <n v="0"/>
    <m/>
    <n v="0"/>
    <m/>
    <m/>
    <m/>
    <m/>
    <m/>
    <m/>
    <m/>
    <m/>
    <n v="0"/>
    <n v="0"/>
    <n v="0"/>
    <n v="0"/>
    <n v="579.27"/>
    <n v="598"/>
  </r>
  <r>
    <x v="9"/>
    <s v="Roanoke-Chowan Community College"/>
    <n v="199467"/>
    <x v="8"/>
    <s v="sem"/>
    <s v="sem"/>
    <m/>
    <m/>
    <n v="12621.6"/>
    <n v="11940"/>
    <n v="2696.4"/>
    <n v="2490"/>
    <n v="13301.4"/>
    <n v="14610"/>
    <n v="28619.4"/>
    <n v="841.8"/>
    <n v="953.98"/>
    <n v="29040"/>
    <n v="1226.4000000000001"/>
    <n v="968"/>
    <m/>
    <m/>
    <m/>
    <m/>
    <m/>
    <m/>
    <m/>
    <m/>
    <n v="0"/>
    <m/>
    <n v="0"/>
    <n v="0"/>
    <m/>
    <n v="0"/>
    <m/>
    <m/>
    <m/>
    <m/>
    <m/>
    <m/>
    <m/>
    <m/>
    <n v="0"/>
    <n v="0"/>
    <n v="0"/>
    <n v="0"/>
    <n v="953.98"/>
    <n v="968"/>
  </r>
  <r>
    <x v="9"/>
    <s v="Sampson Community College"/>
    <n v="199625"/>
    <x v="8"/>
    <s v="sem"/>
    <s v="sem"/>
    <m/>
    <m/>
    <n v="21009.9"/>
    <n v="22050"/>
    <n v="8714.7000000000007"/>
    <n v="8490"/>
    <n v="24522.9"/>
    <n v="26940"/>
    <n v="54247.5"/>
    <n v="2409.9"/>
    <n v="1808.25"/>
    <n v="57480"/>
    <n v="2743.2"/>
    <n v="1916"/>
    <m/>
    <m/>
    <m/>
    <m/>
    <m/>
    <m/>
    <m/>
    <m/>
    <n v="0"/>
    <m/>
    <n v="0"/>
    <n v="0"/>
    <m/>
    <n v="0"/>
    <m/>
    <m/>
    <m/>
    <m/>
    <m/>
    <m/>
    <m/>
    <m/>
    <n v="0"/>
    <n v="0"/>
    <n v="0"/>
    <n v="0"/>
    <n v="1808.25"/>
    <n v="1916"/>
  </r>
  <r>
    <x v="9"/>
    <s v="Tri-County Community College "/>
    <n v="199795"/>
    <x v="8"/>
    <s v="sem"/>
    <s v="sem"/>
    <m/>
    <m/>
    <n v="16084.5"/>
    <n v="14100"/>
    <n v="5442.6"/>
    <n v="4590"/>
    <n v="16172.1"/>
    <n v="16110"/>
    <n v="37699.199999999997"/>
    <n v="3341.3999999999996"/>
    <n v="1256.6399999999999"/>
    <n v="34800"/>
    <n v="4027.7999999999997"/>
    <n v="1160"/>
    <m/>
    <m/>
    <m/>
    <m/>
    <m/>
    <m/>
    <m/>
    <m/>
    <n v="0"/>
    <m/>
    <n v="0"/>
    <n v="0"/>
    <m/>
    <n v="0"/>
    <m/>
    <m/>
    <m/>
    <m/>
    <m/>
    <m/>
    <m/>
    <m/>
    <n v="0"/>
    <n v="0"/>
    <n v="0"/>
    <n v="0"/>
    <n v="1256.6399999999999"/>
    <n v="1160"/>
  </r>
  <r>
    <x v="10"/>
    <s v="Oklahoma State University Main Campus"/>
    <n v="207388"/>
    <x v="0"/>
    <s v="sem"/>
    <s v="sem"/>
    <m/>
    <m/>
    <n v="233495"/>
    <n v="229086"/>
    <n v="29195"/>
    <n v="29807"/>
    <n v="247096"/>
    <n v="242557"/>
    <n v="509786"/>
    <n v="790"/>
    <n v="16992.866666666665"/>
    <n v="501450"/>
    <n v="989"/>
    <n v="16715"/>
    <m/>
    <m/>
    <m/>
    <m/>
    <m/>
    <m/>
    <m/>
    <m/>
    <n v="0"/>
    <m/>
    <n v="0"/>
    <n v="0"/>
    <m/>
    <n v="0"/>
    <m/>
    <m/>
    <n v="27256"/>
    <n v="27786"/>
    <n v="9615"/>
    <n v="9447"/>
    <n v="29058"/>
    <n v="30119"/>
    <n v="65929"/>
    <n v="2747.0416666666665"/>
    <n v="67352"/>
    <n v="2806.3333333333335"/>
    <n v="19739.908333333333"/>
    <n v="19521.333333333332"/>
  </r>
  <r>
    <x v="10"/>
    <s v="University of Oklahoma Norman Campus"/>
    <n v="207500"/>
    <x v="0"/>
    <s v="sem"/>
    <s v="sem"/>
    <m/>
    <m/>
    <n v="252239"/>
    <n v="253520"/>
    <n v="32486"/>
    <n v="32732"/>
    <n v="275348"/>
    <n v="275747"/>
    <n v="560073"/>
    <n v="322"/>
    <n v="18669.099999999999"/>
    <n v="561999"/>
    <n v="336"/>
    <n v="18733.3"/>
    <m/>
    <m/>
    <m/>
    <m/>
    <m/>
    <m/>
    <m/>
    <m/>
    <n v="0"/>
    <m/>
    <n v="0"/>
    <n v="0"/>
    <m/>
    <n v="0"/>
    <m/>
    <m/>
    <n v="46199"/>
    <n v="46754"/>
    <n v="18162"/>
    <n v="18775"/>
    <n v="45506"/>
    <n v="49063"/>
    <n v="109867"/>
    <n v="4577.791666666667"/>
    <n v="114592"/>
    <n v="4774.666666666667"/>
    <n v="23246.891666666666"/>
    <n v="23507.966666666667"/>
  </r>
  <r>
    <x v="10"/>
    <s v="Northeastern State University"/>
    <n v="207263"/>
    <x v="2"/>
    <s v="sem"/>
    <s v="sem"/>
    <m/>
    <m/>
    <n v="92744"/>
    <n v="90263"/>
    <n v="14271"/>
    <n v="15324"/>
    <n v="99809"/>
    <n v="92752"/>
    <n v="206824"/>
    <n v="874"/>
    <n v="6894.1333333333332"/>
    <n v="198339"/>
    <n v="983"/>
    <n v="6611.3"/>
    <m/>
    <m/>
    <m/>
    <m/>
    <m/>
    <m/>
    <m/>
    <m/>
    <n v="0"/>
    <m/>
    <n v="0"/>
    <n v="0"/>
    <m/>
    <n v="0"/>
    <m/>
    <m/>
    <n v="5664"/>
    <n v="5804"/>
    <n v="2478"/>
    <n v="2494"/>
    <n v="6188"/>
    <n v="6516"/>
    <n v="14330"/>
    <n v="597.08333333333337"/>
    <n v="14814"/>
    <n v="617.25"/>
    <n v="7491.2166666666662"/>
    <n v="7228.55"/>
  </r>
  <r>
    <x v="10"/>
    <s v="University of Central Oklahoma"/>
    <n v="206941"/>
    <x v="2"/>
    <s v="sem"/>
    <s v="sem"/>
    <m/>
    <m/>
    <n v="136558"/>
    <n v="135993"/>
    <n v="20852"/>
    <n v="22675"/>
    <n v="167324"/>
    <n v="149369"/>
    <n v="324734"/>
    <n v="2291"/>
    <n v="10824.466666666667"/>
    <n v="308037"/>
    <n v="2279"/>
    <n v="10267.9"/>
    <m/>
    <m/>
    <m/>
    <m/>
    <m/>
    <m/>
    <m/>
    <m/>
    <n v="0"/>
    <m/>
    <n v="0"/>
    <n v="0"/>
    <m/>
    <n v="0"/>
    <m/>
    <m/>
    <n v="9154"/>
    <n v="9294"/>
    <n v="4025"/>
    <n v="3990"/>
    <n v="9612"/>
    <n v="10255"/>
    <n v="22791"/>
    <n v="949.625"/>
    <n v="23539"/>
    <n v="980.79166666666663"/>
    <n v="11774.091666666667"/>
    <n v="11248.691666666666"/>
  </r>
  <r>
    <x v="10"/>
    <s v="Cameron University "/>
    <n v="206914"/>
    <x v="4"/>
    <s v="sem"/>
    <s v="sem"/>
    <m/>
    <m/>
    <n v="53470"/>
    <n v="51587"/>
    <n v="11777"/>
    <n v="11580"/>
    <n v="54868"/>
    <n v="55018"/>
    <n v="120115"/>
    <n v="1519"/>
    <n v="4003.8333333333335"/>
    <n v="118185"/>
    <n v="1612"/>
    <n v="3939.5"/>
    <m/>
    <m/>
    <m/>
    <m/>
    <m/>
    <m/>
    <m/>
    <m/>
    <n v="0"/>
    <m/>
    <n v="0"/>
    <n v="0"/>
    <m/>
    <n v="0"/>
    <m/>
    <m/>
    <n v="2937"/>
    <n v="2675"/>
    <n v="1066"/>
    <n v="978"/>
    <n v="2546"/>
    <n v="2533"/>
    <n v="6549"/>
    <n v="272.875"/>
    <n v="6186"/>
    <n v="257.75"/>
    <n v="4276.7083333333339"/>
    <n v="4197.25"/>
  </r>
  <r>
    <x v="10"/>
    <s v="East Central University "/>
    <n v="207041"/>
    <x v="4"/>
    <s v="sem"/>
    <s v="sem"/>
    <m/>
    <m/>
    <n v="44318"/>
    <n v="43116"/>
    <n v="7462"/>
    <n v="7688"/>
    <n v="46663"/>
    <n v="45362"/>
    <n v="98443"/>
    <n v="393"/>
    <n v="3281.4333333333334"/>
    <n v="96166"/>
    <n v="384"/>
    <n v="3205.5333333333333"/>
    <m/>
    <m/>
    <m/>
    <m/>
    <m/>
    <m/>
    <m/>
    <m/>
    <n v="0"/>
    <m/>
    <n v="0"/>
    <n v="0"/>
    <m/>
    <n v="0"/>
    <m/>
    <m/>
    <n v="4826"/>
    <n v="5423"/>
    <n v="3892"/>
    <n v="4743"/>
    <n v="5152"/>
    <n v="5225"/>
    <n v="13870"/>
    <n v="577.91666666666663"/>
    <n v="15391"/>
    <n v="641.29166666666663"/>
    <n v="3859.35"/>
    <n v="3846.8249999999998"/>
  </r>
  <r>
    <x v="10"/>
    <s v="Langston University"/>
    <n v="207209"/>
    <x v="4"/>
    <s v="sem"/>
    <s v="sem"/>
    <m/>
    <m/>
    <n v="31066"/>
    <n v="29605"/>
    <n v="4102"/>
    <n v="4235"/>
    <n v="32813"/>
    <n v="32351"/>
    <n v="67981"/>
    <m/>
    <n v="2266.0333333333333"/>
    <n v="66191"/>
    <m/>
    <n v="2206.3666666666668"/>
    <m/>
    <m/>
    <m/>
    <m/>
    <m/>
    <m/>
    <m/>
    <m/>
    <n v="0"/>
    <m/>
    <n v="0"/>
    <n v="0"/>
    <m/>
    <n v="0"/>
    <m/>
    <m/>
    <n v="1590"/>
    <n v="2539"/>
    <n v="904"/>
    <m/>
    <n v="2461"/>
    <n v="2095"/>
    <n v="4955"/>
    <n v="206.45833333333334"/>
    <n v="4634"/>
    <n v="193.08333333333334"/>
    <n v="2472.4916666666668"/>
    <n v="2399.4500000000003"/>
  </r>
  <r>
    <x v="10"/>
    <s v="Northwestern Oklahoma State University "/>
    <n v="207306"/>
    <x v="4"/>
    <s v="sem"/>
    <s v="sem"/>
    <m/>
    <m/>
    <n v="20725"/>
    <n v="21035"/>
    <n v="3424"/>
    <n v="3732"/>
    <n v="22500"/>
    <n v="22838"/>
    <n v="46649"/>
    <n v="525"/>
    <n v="1554.9666666666667"/>
    <n v="47605"/>
    <n v="461"/>
    <n v="1586.8333333333333"/>
    <m/>
    <m/>
    <m/>
    <m/>
    <m/>
    <m/>
    <m/>
    <m/>
    <n v="0"/>
    <m/>
    <n v="0"/>
    <n v="0"/>
    <m/>
    <n v="0"/>
    <m/>
    <m/>
    <n v="1376"/>
    <n v="1593"/>
    <n v="874"/>
    <n v="1026"/>
    <n v="1488"/>
    <n v="1531"/>
    <n v="3738"/>
    <n v="155.75"/>
    <n v="4150"/>
    <n v="172.91666666666666"/>
    <n v="1710.7166666666667"/>
    <n v="1759.75"/>
  </r>
  <r>
    <x v="10"/>
    <s v="Southeastern Oklahoma State University "/>
    <n v="207847"/>
    <x v="4"/>
    <s v="sem"/>
    <s v="sem"/>
    <m/>
    <m/>
    <n v="39505"/>
    <n v="39183"/>
    <n v="8747"/>
    <n v="7890"/>
    <n v="44447"/>
    <n v="43124"/>
    <n v="92699"/>
    <n v="1157"/>
    <n v="3089.9666666666667"/>
    <n v="90197"/>
    <n v="1496"/>
    <n v="3006.5666666666666"/>
    <m/>
    <m/>
    <m/>
    <m/>
    <m/>
    <m/>
    <m/>
    <m/>
    <n v="0"/>
    <m/>
    <n v="0"/>
    <n v="0"/>
    <m/>
    <n v="0"/>
    <m/>
    <m/>
    <n v="1972"/>
    <n v="2429"/>
    <n v="927"/>
    <n v="1118"/>
    <n v="2457"/>
    <n v="2468"/>
    <n v="5356"/>
    <n v="223.16666666666666"/>
    <n v="6015"/>
    <n v="250.625"/>
    <n v="3313.1333333333332"/>
    <n v="3257.1916666666666"/>
  </r>
  <r>
    <x v="10"/>
    <s v="Southwestern Oklahoma State University"/>
    <n v="207865"/>
    <x v="4"/>
    <s v="sem"/>
    <s v="sem"/>
    <m/>
    <m/>
    <n v="51540"/>
    <n v="50107"/>
    <n v="7412"/>
    <n v="6480"/>
    <n v="55841"/>
    <n v="53736"/>
    <n v="114793"/>
    <n v="1332"/>
    <n v="3826.4333333333334"/>
    <n v="110323"/>
    <n v="1235"/>
    <n v="3677.4333333333334"/>
    <m/>
    <m/>
    <m/>
    <m/>
    <m/>
    <m/>
    <m/>
    <m/>
    <n v="0"/>
    <m/>
    <n v="0"/>
    <n v="0"/>
    <m/>
    <n v="0"/>
    <m/>
    <m/>
    <n v="3397"/>
    <n v="2904"/>
    <n v="2613"/>
    <n v="2306"/>
    <n v="2884"/>
    <n v="2569"/>
    <n v="8894"/>
    <n v="370.58333333333331"/>
    <n v="7779"/>
    <n v="324.125"/>
    <n v="4197.0166666666664"/>
    <n v="4001.5583333333334"/>
  </r>
  <r>
    <x v="10"/>
    <s v="Oklahoma Panhandle State University "/>
    <n v="207351"/>
    <x v="5"/>
    <s v="sem"/>
    <s v="sem"/>
    <m/>
    <m/>
    <n v="13524"/>
    <n v="14277"/>
    <n v="1722"/>
    <n v="1625"/>
    <n v="15615"/>
    <n v="16370"/>
    <n v="30861"/>
    <n v="354"/>
    <n v="1028.7"/>
    <n v="32272"/>
    <n v="402"/>
    <n v="1075.7333333333333"/>
    <m/>
    <m/>
    <m/>
    <m/>
    <m/>
    <m/>
    <m/>
    <m/>
    <n v="0"/>
    <m/>
    <n v="0"/>
    <n v="0"/>
    <m/>
    <n v="0"/>
    <m/>
    <m/>
    <m/>
    <m/>
    <m/>
    <m/>
    <m/>
    <m/>
    <n v="0"/>
    <n v="0"/>
    <n v="0"/>
    <n v="0"/>
    <n v="1028.7"/>
    <n v="1075.7333333333333"/>
  </r>
  <r>
    <x v="10"/>
    <s v="Rogers State University"/>
    <n v="207661"/>
    <x v="5"/>
    <s v="sem"/>
    <s v="sem"/>
    <m/>
    <m/>
    <n v="35587"/>
    <n v="37236"/>
    <n v="6478"/>
    <n v="5731"/>
    <n v="41943"/>
    <n v="41591"/>
    <n v="84008"/>
    <n v="2230"/>
    <n v="2800.2666666666669"/>
    <n v="84558"/>
    <n v="1908"/>
    <n v="2818.6"/>
    <m/>
    <m/>
    <m/>
    <m/>
    <m/>
    <m/>
    <m/>
    <m/>
    <n v="0"/>
    <m/>
    <n v="0"/>
    <n v="0"/>
    <m/>
    <n v="0"/>
    <m/>
    <m/>
    <m/>
    <m/>
    <m/>
    <m/>
    <m/>
    <m/>
    <n v="0"/>
    <n v="0"/>
    <n v="0"/>
    <n v="0"/>
    <n v="2800.2666666666669"/>
    <n v="2818.6"/>
  </r>
  <r>
    <x v="10"/>
    <s v="University of Science and Arts of Oklahoma"/>
    <n v="207722"/>
    <x v="5"/>
    <s v="sem"/>
    <s v="sem"/>
    <m/>
    <m/>
    <n v="14049"/>
    <n v="13302"/>
    <n v="5095"/>
    <n v="4685"/>
    <n v="14921"/>
    <n v="14293"/>
    <n v="34065"/>
    <n v="147"/>
    <n v="1135.5"/>
    <n v="32280"/>
    <n v="109"/>
    <n v="1076"/>
    <m/>
    <m/>
    <m/>
    <m/>
    <m/>
    <m/>
    <m/>
    <m/>
    <n v="0"/>
    <m/>
    <n v="0"/>
    <n v="0"/>
    <m/>
    <n v="0"/>
    <m/>
    <m/>
    <m/>
    <m/>
    <m/>
    <m/>
    <m/>
    <m/>
    <n v="0"/>
    <n v="0"/>
    <n v="0"/>
    <n v="0"/>
    <n v="1135.5"/>
    <n v="1076"/>
  </r>
  <r>
    <x v="10"/>
    <s v="Oklahoma State University Technical Branch-Okmulgee "/>
    <n v="207564"/>
    <x v="12"/>
    <s v="sem"/>
    <s v="sem"/>
    <m/>
    <m/>
    <n v="30986"/>
    <n v="32737"/>
    <n v="17256"/>
    <n v="18274"/>
    <n v="31847"/>
    <n v="37057"/>
    <n v="80089"/>
    <n v="1232"/>
    <n v="2669.6333333333332"/>
    <n v="88068"/>
    <n v="1054"/>
    <n v="2935.6"/>
    <m/>
    <m/>
    <m/>
    <m/>
    <m/>
    <m/>
    <m/>
    <m/>
    <n v="0"/>
    <m/>
    <n v="0"/>
    <n v="0"/>
    <m/>
    <n v="0"/>
    <m/>
    <m/>
    <m/>
    <m/>
    <m/>
    <m/>
    <m/>
    <m/>
    <n v="0"/>
    <n v="0"/>
    <n v="0"/>
    <n v="0"/>
    <n v="2669.6333333333332"/>
    <n v="2935.6"/>
  </r>
  <r>
    <x v="10"/>
    <s v="Oklahoma City Community College "/>
    <n v="207449"/>
    <x v="6"/>
    <s v="sem"/>
    <s v="sem"/>
    <m/>
    <m/>
    <n v="103405"/>
    <n v="102791"/>
    <n v="27238"/>
    <n v="26856"/>
    <n v="109888"/>
    <n v="108830"/>
    <n v="240531"/>
    <n v="3044"/>
    <n v="8017.7"/>
    <n v="238477"/>
    <n v="5154"/>
    <n v="7949.2333333333336"/>
    <m/>
    <m/>
    <m/>
    <m/>
    <m/>
    <m/>
    <m/>
    <m/>
    <n v="0"/>
    <m/>
    <n v="0"/>
    <n v="0"/>
    <m/>
    <n v="0"/>
    <m/>
    <m/>
    <m/>
    <m/>
    <m/>
    <m/>
    <m/>
    <m/>
    <n v="0"/>
    <n v="0"/>
    <n v="0"/>
    <n v="0"/>
    <n v="8017.7"/>
    <n v="7949.2333333333336"/>
  </r>
  <r>
    <x v="10"/>
    <s v="Tulsa Community College "/>
    <n v="207935"/>
    <x v="6"/>
    <s v="sem"/>
    <s v="sem"/>
    <m/>
    <m/>
    <n v="131840"/>
    <n v="138326"/>
    <n v="44249"/>
    <n v="46432"/>
    <n v="143016"/>
    <n v="156006"/>
    <n v="319105"/>
    <n v="6748"/>
    <n v="10636.833333333334"/>
    <n v="340764"/>
    <n v="7779"/>
    <n v="11358.8"/>
    <m/>
    <m/>
    <m/>
    <m/>
    <m/>
    <m/>
    <m/>
    <m/>
    <n v="0"/>
    <m/>
    <n v="0"/>
    <n v="0"/>
    <m/>
    <n v="0"/>
    <m/>
    <m/>
    <m/>
    <m/>
    <m/>
    <m/>
    <m/>
    <m/>
    <n v="0"/>
    <n v="0"/>
    <n v="0"/>
    <n v="0"/>
    <n v="10636.833333333334"/>
    <n v="11358.8"/>
  </r>
  <r>
    <x v="10"/>
    <s v="Northern Oklahoma College "/>
    <n v="207281"/>
    <x v="7"/>
    <s v="sem"/>
    <s v="sem"/>
    <m/>
    <m/>
    <n v="49233"/>
    <n v="46965"/>
    <n v="7124"/>
    <n v="7745"/>
    <n v="48256"/>
    <n v="49507"/>
    <n v="104613"/>
    <n v="3113"/>
    <n v="3487.1"/>
    <n v="104217"/>
    <n v="3178"/>
    <n v="3473.9"/>
    <m/>
    <m/>
    <m/>
    <m/>
    <m/>
    <m/>
    <m/>
    <m/>
    <n v="0"/>
    <m/>
    <n v="0"/>
    <n v="0"/>
    <m/>
    <n v="0"/>
    <m/>
    <m/>
    <m/>
    <m/>
    <m/>
    <m/>
    <m/>
    <m/>
    <n v="0"/>
    <n v="0"/>
    <n v="0"/>
    <n v="0"/>
    <n v="3487.1"/>
    <n v="3473.9"/>
  </r>
  <r>
    <x v="10"/>
    <s v="Oklahoma State University-Oklahoma City "/>
    <n v="207397"/>
    <x v="7"/>
    <s v="sem"/>
    <s v="sem"/>
    <m/>
    <m/>
    <n v="47458"/>
    <n v="48008"/>
    <n v="13166"/>
    <n v="13440"/>
    <n v="50418"/>
    <n v="51716"/>
    <n v="111042"/>
    <n v="3288"/>
    <n v="3701.4"/>
    <n v="113164"/>
    <n v="1454"/>
    <n v="3772.1333333333332"/>
    <m/>
    <m/>
    <m/>
    <m/>
    <m/>
    <m/>
    <m/>
    <m/>
    <n v="0"/>
    <m/>
    <n v="0"/>
    <n v="0"/>
    <m/>
    <n v="0"/>
    <m/>
    <m/>
    <m/>
    <m/>
    <m/>
    <m/>
    <m/>
    <m/>
    <n v="0"/>
    <n v="0"/>
    <n v="0"/>
    <n v="0"/>
    <n v="3701.4"/>
    <n v="3772.1333333333332"/>
  </r>
  <r>
    <x v="10"/>
    <s v="Rose State College "/>
    <n v="207670"/>
    <x v="7"/>
    <s v="sem"/>
    <s v="sem"/>
    <m/>
    <m/>
    <n v="62092"/>
    <n v="59638"/>
    <n v="14933"/>
    <n v="14675"/>
    <n v="69259"/>
    <n v="65638"/>
    <n v="146284"/>
    <n v="2454"/>
    <n v="4876.1333333333332"/>
    <n v="139951"/>
    <n v="2830"/>
    <n v="4665.0333333333338"/>
    <m/>
    <m/>
    <m/>
    <m/>
    <m/>
    <m/>
    <m/>
    <m/>
    <n v="0"/>
    <m/>
    <n v="0"/>
    <n v="0"/>
    <m/>
    <n v="0"/>
    <m/>
    <m/>
    <m/>
    <m/>
    <m/>
    <m/>
    <m/>
    <m/>
    <n v="0"/>
    <n v="0"/>
    <n v="0"/>
    <n v="0"/>
    <n v="4876.1333333333332"/>
    <n v="4665.0333333333338"/>
  </r>
  <r>
    <x v="10"/>
    <s v="Carl Albert State College"/>
    <n v="206923"/>
    <x v="8"/>
    <s v="sem"/>
    <s v="sem"/>
    <m/>
    <m/>
    <n v="23946"/>
    <n v="23423"/>
    <n v="4716"/>
    <n v="4627"/>
    <n v="25631"/>
    <n v="25544"/>
    <n v="54293"/>
    <n v="1741"/>
    <n v="1809.7666666666667"/>
    <n v="53594"/>
    <n v="422"/>
    <n v="1786.4666666666667"/>
    <m/>
    <m/>
    <m/>
    <m/>
    <m/>
    <m/>
    <m/>
    <m/>
    <n v="0"/>
    <m/>
    <n v="0"/>
    <n v="0"/>
    <m/>
    <n v="0"/>
    <m/>
    <m/>
    <m/>
    <m/>
    <m/>
    <m/>
    <m/>
    <m/>
    <n v="0"/>
    <n v="0"/>
    <n v="0"/>
    <n v="0"/>
    <n v="1809.7666666666667"/>
    <n v="1786.4666666666667"/>
  </r>
  <r>
    <x v="10"/>
    <s v="Connors State College "/>
    <n v="206996"/>
    <x v="8"/>
    <s v="sem"/>
    <s v="sem"/>
    <m/>
    <m/>
    <n v="20494"/>
    <n v="21306"/>
    <n v="4186"/>
    <n v="3849"/>
    <n v="24703"/>
    <n v="24410"/>
    <n v="49383"/>
    <n v="1237"/>
    <n v="1646.1"/>
    <n v="49565"/>
    <n v="1269"/>
    <n v="1652.1666666666667"/>
    <m/>
    <m/>
    <m/>
    <m/>
    <m/>
    <m/>
    <m/>
    <m/>
    <n v="0"/>
    <m/>
    <n v="0"/>
    <n v="0"/>
    <m/>
    <n v="0"/>
    <m/>
    <m/>
    <m/>
    <m/>
    <m/>
    <m/>
    <m/>
    <m/>
    <n v="0"/>
    <n v="0"/>
    <n v="0"/>
    <n v="0"/>
    <n v="1646.1"/>
    <n v="1652.1666666666667"/>
  </r>
  <r>
    <x v="10"/>
    <s v="Eastern Oklahoma State College "/>
    <n v="207050"/>
    <x v="8"/>
    <s v="sem"/>
    <s v="sem"/>
    <m/>
    <m/>
    <n v="16959"/>
    <n v="17075"/>
    <n v="2627"/>
    <n v="3031"/>
    <n v="18645"/>
    <n v="19289"/>
    <n v="38231"/>
    <n v="1193"/>
    <n v="1274.3666666666666"/>
    <n v="39395"/>
    <n v="1203"/>
    <n v="1313.1666666666667"/>
    <m/>
    <m/>
    <m/>
    <m/>
    <m/>
    <m/>
    <m/>
    <m/>
    <n v="0"/>
    <m/>
    <n v="0"/>
    <n v="0"/>
    <m/>
    <n v="0"/>
    <m/>
    <m/>
    <m/>
    <m/>
    <m/>
    <m/>
    <m/>
    <m/>
    <n v="0"/>
    <n v="0"/>
    <n v="0"/>
    <n v="0"/>
    <n v="1274.3666666666666"/>
    <n v="1313.1666666666667"/>
  </r>
  <r>
    <x v="10"/>
    <s v="Murray State College "/>
    <n v="207236"/>
    <x v="8"/>
    <s v="sem"/>
    <s v="sem"/>
    <m/>
    <m/>
    <n v="22936"/>
    <n v="23182"/>
    <n v="3764"/>
    <n v="3683"/>
    <n v="22275"/>
    <n v="24045"/>
    <n v="48975"/>
    <n v="2551"/>
    <n v="1632.5"/>
    <n v="50910"/>
    <n v="3003"/>
    <n v="1697"/>
    <m/>
    <m/>
    <m/>
    <m/>
    <m/>
    <m/>
    <m/>
    <m/>
    <n v="0"/>
    <m/>
    <n v="0"/>
    <n v="0"/>
    <m/>
    <n v="0"/>
    <m/>
    <m/>
    <m/>
    <m/>
    <m/>
    <m/>
    <m/>
    <m/>
    <n v="0"/>
    <n v="0"/>
    <n v="0"/>
    <n v="0"/>
    <n v="1632.5"/>
    <n v="1697"/>
  </r>
  <r>
    <x v="10"/>
    <s v="Northeastern Oklahoma A &amp; M College "/>
    <n v="207290"/>
    <x v="8"/>
    <s v="sem"/>
    <s v="sem"/>
    <m/>
    <m/>
    <n v="20664"/>
    <n v="19302"/>
    <m/>
    <n v="3161"/>
    <n v="23942"/>
    <n v="23052"/>
    <n v="44606"/>
    <n v="1029"/>
    <n v="1486.8666666666666"/>
    <n v="45515"/>
    <n v="1056"/>
    <n v="1517.1666666666667"/>
    <m/>
    <m/>
    <m/>
    <m/>
    <m/>
    <m/>
    <m/>
    <m/>
    <n v="0"/>
    <m/>
    <n v="0"/>
    <n v="0"/>
    <m/>
    <n v="0"/>
    <m/>
    <m/>
    <m/>
    <m/>
    <m/>
    <m/>
    <m/>
    <m/>
    <n v="0"/>
    <n v="0"/>
    <n v="0"/>
    <n v="0"/>
    <n v="1486.8666666666666"/>
    <n v="1517.1666666666667"/>
  </r>
  <r>
    <x v="10"/>
    <s v="Redlands Community College"/>
    <n v="207069"/>
    <x v="8"/>
    <s v="sem"/>
    <s v="sem"/>
    <m/>
    <m/>
    <n v="18709"/>
    <n v="18306"/>
    <n v="4093"/>
    <n v="3829"/>
    <n v="20683"/>
    <n v="20265"/>
    <n v="43485"/>
    <n v="3975"/>
    <n v="1449.5"/>
    <n v="42400"/>
    <n v="5384"/>
    <n v="1413.3333333333333"/>
    <m/>
    <m/>
    <m/>
    <m/>
    <m/>
    <m/>
    <m/>
    <m/>
    <n v="0"/>
    <m/>
    <n v="0"/>
    <n v="0"/>
    <m/>
    <n v="0"/>
    <m/>
    <m/>
    <m/>
    <m/>
    <m/>
    <m/>
    <m/>
    <m/>
    <n v="0"/>
    <n v="0"/>
    <n v="0"/>
    <n v="0"/>
    <n v="1449.5"/>
    <n v="1413.3333333333333"/>
  </r>
  <r>
    <x v="10"/>
    <s v="Seminole State College "/>
    <n v="207740"/>
    <x v="8"/>
    <s v="sem"/>
    <s v="sem"/>
    <m/>
    <m/>
    <n v="18891"/>
    <n v="18523"/>
    <n v="3219"/>
    <n v="2924"/>
    <n v="19245"/>
    <n v="21181"/>
    <n v="41355"/>
    <n v="1367"/>
    <n v="1378.5"/>
    <n v="42628"/>
    <n v="1634"/>
    <n v="1420.9333333333334"/>
    <m/>
    <m/>
    <m/>
    <m/>
    <m/>
    <m/>
    <m/>
    <m/>
    <n v="0"/>
    <m/>
    <n v="0"/>
    <n v="0"/>
    <m/>
    <n v="0"/>
    <m/>
    <m/>
    <m/>
    <m/>
    <m/>
    <m/>
    <m/>
    <m/>
    <n v="0"/>
    <n v="0"/>
    <n v="0"/>
    <n v="0"/>
    <n v="1378.5"/>
    <n v="1420.9333333333334"/>
  </r>
  <r>
    <x v="10"/>
    <s v="Western Oklahoma State College "/>
    <n v="208035"/>
    <x v="8"/>
    <s v="sem"/>
    <s v="sem"/>
    <m/>
    <m/>
    <n v="16139"/>
    <n v="15299"/>
    <n v="3814"/>
    <n v="3068"/>
    <n v="14522"/>
    <n v="19849"/>
    <n v="34475"/>
    <n v="1281"/>
    <n v="1149.1666666666667"/>
    <n v="38216"/>
    <n v="1397"/>
    <n v="1273.8666666666666"/>
    <m/>
    <m/>
    <m/>
    <m/>
    <m/>
    <m/>
    <m/>
    <m/>
    <n v="0"/>
    <m/>
    <n v="0"/>
    <n v="0"/>
    <m/>
    <n v="0"/>
    <m/>
    <m/>
    <m/>
    <m/>
    <m/>
    <m/>
    <m/>
    <m/>
    <n v="0"/>
    <n v="0"/>
    <n v="0"/>
    <n v="0"/>
    <n v="1149.1666666666667"/>
    <n v="1273.8666666666666"/>
  </r>
  <r>
    <x v="10"/>
    <s v="Francis Tuttle Technology Center                  "/>
    <n v="245999"/>
    <x v="9"/>
    <s v="sem"/>
    <s v="sem"/>
    <m/>
    <m/>
    <m/>
    <m/>
    <m/>
    <m/>
    <m/>
    <m/>
    <n v="0"/>
    <m/>
    <n v="0"/>
    <n v="0"/>
    <m/>
    <n v="0"/>
    <m/>
    <m/>
    <m/>
    <m/>
    <m/>
    <m/>
    <n v="1802964.82"/>
    <n v="1856749.05"/>
    <n v="1802964.82"/>
    <m/>
    <n v="2003.2942444444445"/>
    <n v="1856749.05"/>
    <m/>
    <n v="2063.0545000000002"/>
    <m/>
    <m/>
    <m/>
    <m/>
    <m/>
    <m/>
    <m/>
    <m/>
    <n v="0"/>
    <n v="0"/>
    <n v="0"/>
    <n v="0"/>
    <n v="2003.2942444444445"/>
    <n v="2063.0545000000002"/>
  </r>
  <r>
    <x v="10"/>
    <s v="Great Plains Technology Center                    "/>
    <n v="364548"/>
    <x v="9"/>
    <s v="sem"/>
    <s v="sem"/>
    <m/>
    <m/>
    <m/>
    <m/>
    <m/>
    <m/>
    <m/>
    <m/>
    <n v="0"/>
    <m/>
    <n v="0"/>
    <n v="0"/>
    <m/>
    <n v="0"/>
    <m/>
    <m/>
    <m/>
    <m/>
    <m/>
    <m/>
    <n v="1009352.18"/>
    <n v="946199.4"/>
    <n v="1009352.18"/>
    <m/>
    <n v="1121.5024222222223"/>
    <n v="946199.4"/>
    <m/>
    <n v="1051.3326666666667"/>
    <m/>
    <m/>
    <m/>
    <m/>
    <m/>
    <m/>
    <m/>
    <m/>
    <n v="0"/>
    <n v="0"/>
    <n v="0"/>
    <n v="0"/>
    <n v="1121.5024222222223"/>
    <n v="1051.3326666666667"/>
  </r>
  <r>
    <x v="10"/>
    <s v="Metro Technology Centers                          "/>
    <n v="363165"/>
    <x v="9"/>
    <s v="sem"/>
    <s v="sem"/>
    <m/>
    <m/>
    <m/>
    <m/>
    <m/>
    <m/>
    <m/>
    <m/>
    <n v="0"/>
    <m/>
    <n v="0"/>
    <n v="0"/>
    <m/>
    <n v="0"/>
    <m/>
    <m/>
    <m/>
    <m/>
    <m/>
    <m/>
    <n v="1413286.5"/>
    <n v="1385602.75"/>
    <n v="1413286.5"/>
    <m/>
    <n v="1570.3183333333334"/>
    <n v="1385602.75"/>
    <m/>
    <n v="1539.5586111111111"/>
    <m/>
    <m/>
    <m/>
    <m/>
    <m/>
    <m/>
    <m/>
    <m/>
    <n v="0"/>
    <n v="0"/>
    <n v="0"/>
    <n v="0"/>
    <n v="1570.3183333333334"/>
    <n v="1539.5586111111111"/>
  </r>
  <r>
    <x v="10"/>
    <s v="Moore Norman Technology Center                    "/>
    <n v="248606"/>
    <x v="9"/>
    <s v="sem"/>
    <s v="sem"/>
    <m/>
    <m/>
    <m/>
    <m/>
    <m/>
    <m/>
    <m/>
    <m/>
    <n v="0"/>
    <m/>
    <n v="0"/>
    <n v="0"/>
    <m/>
    <n v="0"/>
    <m/>
    <m/>
    <m/>
    <m/>
    <m/>
    <m/>
    <n v="887113.09"/>
    <n v="882600.57"/>
    <n v="887113.09"/>
    <m/>
    <n v="985.68121111111111"/>
    <n v="882600.57"/>
    <m/>
    <n v="980.66729999999995"/>
    <m/>
    <m/>
    <m/>
    <m/>
    <m/>
    <m/>
    <m/>
    <m/>
    <n v="0"/>
    <n v="0"/>
    <n v="0"/>
    <n v="0"/>
    <n v="985.68121111111111"/>
    <n v="980.66729999999995"/>
  </r>
  <r>
    <x v="10"/>
    <s v="Tulsa Technology Center-Broken Arrow Campus       "/>
    <n v="261393"/>
    <x v="9"/>
    <s v="sem"/>
    <s v="sem"/>
    <m/>
    <m/>
    <m/>
    <m/>
    <m/>
    <m/>
    <m/>
    <m/>
    <n v="0"/>
    <m/>
    <n v="0"/>
    <n v="0"/>
    <m/>
    <n v="0"/>
    <m/>
    <m/>
    <m/>
    <m/>
    <m/>
    <m/>
    <n v="1169688.75"/>
    <n v="972189.6"/>
    <n v="1169688.75"/>
    <m/>
    <n v="1299.6541666666667"/>
    <n v="972189.6"/>
    <m/>
    <n v="1080.2106666666666"/>
    <m/>
    <m/>
    <m/>
    <m/>
    <m/>
    <m/>
    <m/>
    <m/>
    <n v="0"/>
    <n v="0"/>
    <n v="0"/>
    <n v="0"/>
    <n v="1299.6541666666667"/>
    <n v="1080.2106666666666"/>
  </r>
  <r>
    <x v="10"/>
    <s v="Autry Technology Center                           "/>
    <n v="365213"/>
    <x v="10"/>
    <s v="sem"/>
    <s v="sem"/>
    <m/>
    <m/>
    <m/>
    <m/>
    <m/>
    <m/>
    <m/>
    <m/>
    <n v="0"/>
    <m/>
    <n v="0"/>
    <n v="0"/>
    <m/>
    <n v="0"/>
    <m/>
    <m/>
    <m/>
    <m/>
    <m/>
    <m/>
    <n v="483507.75"/>
    <n v="489328.79"/>
    <n v="483507.75"/>
    <m/>
    <n v="537.23083333333329"/>
    <n v="489328.79"/>
    <m/>
    <n v="543.69865555555555"/>
    <m/>
    <m/>
    <m/>
    <m/>
    <m/>
    <m/>
    <m/>
    <m/>
    <n v="0"/>
    <n v="0"/>
    <n v="0"/>
    <n v="0"/>
    <n v="537.23083333333329"/>
    <n v="543.69865555555555"/>
  </r>
  <r>
    <x v="10"/>
    <s v="Caddo Kiowa Technology Center                     "/>
    <n v="364946"/>
    <x v="10"/>
    <s v="sem"/>
    <s v="sem"/>
    <m/>
    <m/>
    <m/>
    <m/>
    <m/>
    <m/>
    <m/>
    <m/>
    <n v="0"/>
    <m/>
    <n v="0"/>
    <n v="0"/>
    <m/>
    <n v="0"/>
    <m/>
    <m/>
    <m/>
    <m/>
    <m/>
    <m/>
    <n v="402438.5"/>
    <n v="389053.5"/>
    <n v="402438.5"/>
    <m/>
    <n v="447.1538888888889"/>
    <n v="389053.5"/>
    <m/>
    <n v="432.28166666666669"/>
    <m/>
    <m/>
    <m/>
    <m/>
    <m/>
    <m/>
    <m/>
    <m/>
    <n v="0"/>
    <n v="0"/>
    <n v="0"/>
    <n v="0"/>
    <n v="447.1538888888889"/>
    <n v="432.28166666666669"/>
  </r>
  <r>
    <x v="10"/>
    <s v="Canadian Valley Technology Center                 "/>
    <n v="365374"/>
    <x v="10"/>
    <s v="sem"/>
    <s v="sem"/>
    <m/>
    <m/>
    <m/>
    <m/>
    <m/>
    <m/>
    <m/>
    <m/>
    <n v="0"/>
    <m/>
    <n v="0"/>
    <n v="0"/>
    <m/>
    <n v="0"/>
    <m/>
    <m/>
    <m/>
    <m/>
    <m/>
    <m/>
    <n v="905297.85"/>
    <n v="955036.96"/>
    <n v="905297.85"/>
    <m/>
    <n v="1005.8865"/>
    <n v="955036.96"/>
    <m/>
    <n v="1061.1521777777778"/>
    <m/>
    <m/>
    <m/>
    <m/>
    <m/>
    <m/>
    <m/>
    <m/>
    <n v="0"/>
    <n v="0"/>
    <n v="0"/>
    <n v="0"/>
    <n v="1005.8865"/>
    <n v="1061.1521777777778"/>
  </r>
  <r>
    <x v="10"/>
    <s v="Central Technology Center                         "/>
    <n v="246017"/>
    <x v="10"/>
    <s v="sem"/>
    <s v="sem"/>
    <m/>
    <m/>
    <m/>
    <m/>
    <m/>
    <m/>
    <m/>
    <m/>
    <n v="0"/>
    <m/>
    <n v="0"/>
    <n v="0"/>
    <m/>
    <n v="0"/>
    <m/>
    <m/>
    <m/>
    <m/>
    <m/>
    <m/>
    <n v="757687.05"/>
    <n v="742077.04"/>
    <n v="757687.05"/>
    <m/>
    <n v="841.87450000000001"/>
    <n v="742077.04"/>
    <m/>
    <n v="824.53004444444446"/>
    <m/>
    <m/>
    <m/>
    <m/>
    <m/>
    <m/>
    <m/>
    <m/>
    <n v="0"/>
    <n v="0"/>
    <n v="0"/>
    <n v="0"/>
    <n v="841.87450000000001"/>
    <n v="824.53004444444446"/>
  </r>
  <r>
    <x v="10"/>
    <s v="Chisholm Trail Technology Center                  "/>
    <n v="375656"/>
    <x v="10"/>
    <s v="sem"/>
    <s v="sem"/>
    <m/>
    <m/>
    <m/>
    <m/>
    <m/>
    <m/>
    <m/>
    <m/>
    <n v="0"/>
    <m/>
    <n v="0"/>
    <n v="0"/>
    <m/>
    <n v="0"/>
    <m/>
    <m/>
    <m/>
    <m/>
    <m/>
    <m/>
    <n v="84351"/>
    <n v="78293.25"/>
    <n v="84351"/>
    <m/>
    <n v="93.723333333333329"/>
    <n v="78293.25"/>
    <m/>
    <n v="86.992500000000007"/>
    <m/>
    <m/>
    <m/>
    <m/>
    <m/>
    <m/>
    <m/>
    <m/>
    <n v="0"/>
    <n v="0"/>
    <n v="0"/>
    <n v="0"/>
    <n v="93.723333333333329"/>
    <n v="86.992500000000007"/>
  </r>
  <r>
    <x v="10"/>
    <s v="Eastern Oklahoma County Technology Center         "/>
    <n v="418348"/>
    <x v="10"/>
    <s v="sem"/>
    <s v="sem"/>
    <m/>
    <m/>
    <m/>
    <m/>
    <m/>
    <m/>
    <m/>
    <m/>
    <n v="0"/>
    <m/>
    <n v="0"/>
    <n v="0"/>
    <m/>
    <n v="0"/>
    <m/>
    <m/>
    <m/>
    <m/>
    <m/>
    <m/>
    <n v="365616.75"/>
    <n v="346572.5"/>
    <n v="365616.75"/>
    <m/>
    <n v="406.24083333333334"/>
    <n v="346572.5"/>
    <m/>
    <n v="385.08055555555558"/>
    <m/>
    <m/>
    <m/>
    <m/>
    <m/>
    <m/>
    <m/>
    <m/>
    <n v="0"/>
    <n v="0"/>
    <n v="0"/>
    <n v="0"/>
    <n v="406.24083333333334"/>
    <n v="385.08055555555558"/>
  </r>
  <r>
    <x v="10"/>
    <s v="Gordon Cooper Technology Center                   "/>
    <n v="375683"/>
    <x v="10"/>
    <s v="sem"/>
    <s v="sem"/>
    <m/>
    <m/>
    <m/>
    <m/>
    <m/>
    <m/>
    <m/>
    <m/>
    <n v="0"/>
    <m/>
    <n v="0"/>
    <n v="0"/>
    <m/>
    <n v="0"/>
    <m/>
    <m/>
    <m/>
    <m/>
    <m/>
    <m/>
    <n v="657183.25"/>
    <n v="638792.25"/>
    <n v="657183.25"/>
    <m/>
    <n v="730.20361111111106"/>
    <n v="638792.25"/>
    <m/>
    <n v="709.76916666666671"/>
    <m/>
    <m/>
    <m/>
    <m/>
    <m/>
    <m/>
    <m/>
    <m/>
    <n v="0"/>
    <n v="0"/>
    <n v="0"/>
    <n v="0"/>
    <n v="730.20361111111106"/>
    <n v="709.76916666666671"/>
  </r>
  <r>
    <x v="10"/>
    <s v="Green Country Technology Center                   "/>
    <n v="428019"/>
    <x v="10"/>
    <s v="sem"/>
    <s v="sem"/>
    <m/>
    <m/>
    <m/>
    <m/>
    <m/>
    <m/>
    <m/>
    <m/>
    <n v="0"/>
    <m/>
    <n v="0"/>
    <n v="0"/>
    <m/>
    <n v="0"/>
    <m/>
    <m/>
    <m/>
    <m/>
    <m/>
    <m/>
    <n v="255850"/>
    <n v="209785"/>
    <n v="255850"/>
    <m/>
    <n v="284.27777777777777"/>
    <n v="209785"/>
    <m/>
    <n v="233.09444444444443"/>
    <m/>
    <m/>
    <m/>
    <m/>
    <m/>
    <m/>
    <m/>
    <m/>
    <n v="0"/>
    <n v="0"/>
    <n v="0"/>
    <n v="0"/>
    <n v="284.27777777777777"/>
    <n v="233.09444444444443"/>
  </r>
  <r>
    <x v="10"/>
    <s v="High Plains Technology Center                     "/>
    <n v="208053"/>
    <x v="10"/>
    <s v="sem"/>
    <s v="sem"/>
    <m/>
    <m/>
    <m/>
    <m/>
    <m/>
    <m/>
    <m/>
    <m/>
    <n v="0"/>
    <m/>
    <n v="0"/>
    <n v="0"/>
    <m/>
    <n v="0"/>
    <m/>
    <m/>
    <m/>
    <m/>
    <m/>
    <m/>
    <n v="269910"/>
    <n v="278161.5"/>
    <n v="269910"/>
    <m/>
    <n v="299.89999999999998"/>
    <n v="278161.5"/>
    <m/>
    <n v="309.06833333333333"/>
    <m/>
    <m/>
    <m/>
    <m/>
    <m/>
    <m/>
    <m/>
    <m/>
    <n v="0"/>
    <n v="0"/>
    <n v="0"/>
    <n v="0"/>
    <n v="299.89999999999998"/>
    <n v="309.06833333333333"/>
  </r>
  <r>
    <x v="10"/>
    <s v="Indian Capital Technology Center-Muskogee         "/>
    <n v="418296"/>
    <x v="10"/>
    <s v="sem"/>
    <s v="sem"/>
    <m/>
    <m/>
    <m/>
    <m/>
    <m/>
    <m/>
    <m/>
    <m/>
    <n v="0"/>
    <m/>
    <n v="0"/>
    <n v="0"/>
    <m/>
    <n v="0"/>
    <m/>
    <m/>
    <m/>
    <m/>
    <m/>
    <m/>
    <n v="546609.75"/>
    <n v="530796"/>
    <n v="546609.75"/>
    <m/>
    <n v="607.34416666666664"/>
    <n v="530796"/>
    <m/>
    <n v="589.77333333333331"/>
    <m/>
    <m/>
    <m/>
    <m/>
    <m/>
    <m/>
    <m/>
    <m/>
    <n v="0"/>
    <n v="0"/>
    <n v="0"/>
    <n v="0"/>
    <n v="607.34416666666664"/>
    <n v="589.77333333333331"/>
  </r>
  <r>
    <x v="10"/>
    <s v="Indian Capital Technology Center-Sallisaw         "/>
    <n v="421540"/>
    <x v="10"/>
    <s v="sem"/>
    <s v="sem"/>
    <m/>
    <m/>
    <m/>
    <m/>
    <m/>
    <m/>
    <m/>
    <m/>
    <n v="0"/>
    <m/>
    <n v="0"/>
    <n v="0"/>
    <m/>
    <n v="0"/>
    <m/>
    <m/>
    <m/>
    <m/>
    <m/>
    <m/>
    <n v="165518.25"/>
    <n v="176953.5"/>
    <n v="165518.25"/>
    <m/>
    <n v="183.90916666666666"/>
    <n v="176953.5"/>
    <m/>
    <n v="196.61500000000001"/>
    <m/>
    <m/>
    <m/>
    <m/>
    <m/>
    <m/>
    <m/>
    <m/>
    <n v="0"/>
    <n v="0"/>
    <n v="0"/>
    <n v="0"/>
    <n v="183.90916666666666"/>
    <n v="196.61500000000001"/>
  </r>
  <r>
    <x v="10"/>
    <s v="Indian Capital Technology Center-Stilwell         "/>
    <n v="421559"/>
    <x v="10"/>
    <s v="sem"/>
    <s v="sem"/>
    <m/>
    <m/>
    <m/>
    <m/>
    <m/>
    <m/>
    <m/>
    <m/>
    <n v="0"/>
    <m/>
    <n v="0"/>
    <n v="0"/>
    <m/>
    <n v="0"/>
    <m/>
    <m/>
    <m/>
    <m/>
    <m/>
    <m/>
    <n v="89654.5"/>
    <n v="96409.75"/>
    <n v="89654.5"/>
    <m/>
    <n v="99.61611111111111"/>
    <n v="96409.75"/>
    <m/>
    <n v="107.12194444444444"/>
    <m/>
    <m/>
    <m/>
    <m/>
    <m/>
    <m/>
    <m/>
    <m/>
    <n v="0"/>
    <n v="0"/>
    <n v="0"/>
    <n v="0"/>
    <n v="99.61611111111111"/>
    <n v="107.12194444444444"/>
  </r>
  <r>
    <x v="10"/>
    <s v="Indian Capital Technology Center-Tahlequah        "/>
    <n v="208026"/>
    <x v="10"/>
    <s v="sem"/>
    <s v="sem"/>
    <m/>
    <m/>
    <m/>
    <m/>
    <m/>
    <m/>
    <m/>
    <m/>
    <n v="0"/>
    <m/>
    <n v="0"/>
    <n v="0"/>
    <m/>
    <n v="0"/>
    <m/>
    <m/>
    <m/>
    <m/>
    <m/>
    <m/>
    <n v="201854.5"/>
    <n v="193509.75"/>
    <n v="201854.5"/>
    <m/>
    <n v="224.28277777777777"/>
    <n v="193509.75"/>
    <m/>
    <n v="215.01083333333332"/>
    <m/>
    <m/>
    <m/>
    <m/>
    <m/>
    <m/>
    <m/>
    <m/>
    <n v="0"/>
    <n v="0"/>
    <n v="0"/>
    <n v="0"/>
    <n v="224.28277777777777"/>
    <n v="215.01083333333332"/>
  </r>
  <r>
    <x v="10"/>
    <s v="Kiamichi Technology Center-Atoka                  "/>
    <n v="375692"/>
    <x v="10"/>
    <s v="sem"/>
    <s v="sem"/>
    <m/>
    <m/>
    <m/>
    <m/>
    <m/>
    <m/>
    <m/>
    <m/>
    <n v="0"/>
    <m/>
    <n v="0"/>
    <n v="0"/>
    <m/>
    <n v="0"/>
    <m/>
    <m/>
    <m/>
    <m/>
    <m/>
    <m/>
    <n v="139359.25"/>
    <n v="138150"/>
    <n v="139359.25"/>
    <m/>
    <n v="154.8436111111111"/>
    <n v="138150"/>
    <m/>
    <n v="153.5"/>
    <m/>
    <m/>
    <m/>
    <m/>
    <m/>
    <m/>
    <m/>
    <m/>
    <n v="0"/>
    <n v="0"/>
    <n v="0"/>
    <n v="0"/>
    <n v="154.8436111111111"/>
    <n v="153.5"/>
  </r>
  <r>
    <x v="10"/>
    <s v="Kiamichi Technology Center-Durant                 "/>
    <n v="375708"/>
    <x v="10"/>
    <s v="sem"/>
    <s v="sem"/>
    <m/>
    <m/>
    <m/>
    <m/>
    <m/>
    <m/>
    <m/>
    <m/>
    <n v="0"/>
    <m/>
    <n v="0"/>
    <n v="0"/>
    <m/>
    <n v="0"/>
    <m/>
    <m/>
    <m/>
    <m/>
    <m/>
    <m/>
    <n v="189040.18"/>
    <n v="268212.71999999997"/>
    <n v="189040.18"/>
    <m/>
    <n v="210.04464444444443"/>
    <n v="268212.71999999997"/>
    <m/>
    <n v="298.01413333333329"/>
    <m/>
    <m/>
    <m/>
    <m/>
    <m/>
    <m/>
    <m/>
    <m/>
    <n v="0"/>
    <n v="0"/>
    <n v="0"/>
    <n v="0"/>
    <n v="210.04464444444443"/>
    <n v="298.01413333333329"/>
  </r>
  <r>
    <x v="10"/>
    <s v="Kiamichi Technology Center-Hugo                   "/>
    <n v="375717"/>
    <x v="10"/>
    <s v="sem"/>
    <s v="sem"/>
    <m/>
    <m/>
    <m/>
    <m/>
    <m/>
    <m/>
    <m/>
    <m/>
    <n v="0"/>
    <m/>
    <n v="0"/>
    <n v="0"/>
    <m/>
    <n v="0"/>
    <m/>
    <m/>
    <m/>
    <m/>
    <m/>
    <m/>
    <n v="183408.5"/>
    <n v="164520.5"/>
    <n v="183408.5"/>
    <m/>
    <n v="203.78722222222223"/>
    <n v="164520.5"/>
    <m/>
    <n v="182.80055555555555"/>
    <m/>
    <m/>
    <m/>
    <m/>
    <m/>
    <m/>
    <m/>
    <m/>
    <n v="0"/>
    <n v="0"/>
    <n v="0"/>
    <n v="0"/>
    <n v="203.78722222222223"/>
    <n v="182.80055555555555"/>
  </r>
  <r>
    <x v="10"/>
    <s v="Kiamichi Technology Center-Idabel                 "/>
    <n v="375735"/>
    <x v="10"/>
    <s v="sem"/>
    <s v="sem"/>
    <m/>
    <m/>
    <m/>
    <m/>
    <m/>
    <m/>
    <m/>
    <m/>
    <n v="0"/>
    <m/>
    <n v="0"/>
    <n v="0"/>
    <m/>
    <n v="0"/>
    <m/>
    <m/>
    <m/>
    <m/>
    <m/>
    <m/>
    <n v="182796.55"/>
    <n v="218790.5"/>
    <n v="182796.55"/>
    <m/>
    <n v="203.10727777777777"/>
    <n v="218790.5"/>
    <m/>
    <n v="243.10055555555556"/>
    <m/>
    <m/>
    <m/>
    <m/>
    <m/>
    <m/>
    <m/>
    <m/>
    <n v="0"/>
    <n v="0"/>
    <n v="0"/>
    <n v="0"/>
    <n v="203.10727777777777"/>
    <n v="243.10055555555556"/>
  </r>
  <r>
    <x v="10"/>
    <s v="Kiamichi Technology Center-McAlester              "/>
    <n v="375726"/>
    <x v="10"/>
    <s v="sem"/>
    <s v="sem"/>
    <m/>
    <m/>
    <m/>
    <m/>
    <m/>
    <m/>
    <m/>
    <m/>
    <n v="0"/>
    <m/>
    <n v="0"/>
    <n v="0"/>
    <m/>
    <n v="0"/>
    <m/>
    <m/>
    <m/>
    <m/>
    <m/>
    <m/>
    <n v="269356.75"/>
    <n v="283243"/>
    <n v="269356.75"/>
    <m/>
    <n v="299.28527777777776"/>
    <n v="283243"/>
    <m/>
    <n v="314.71444444444444"/>
    <m/>
    <m/>
    <m/>
    <m/>
    <m/>
    <m/>
    <m/>
    <m/>
    <n v="0"/>
    <n v="0"/>
    <n v="0"/>
    <n v="0"/>
    <n v="299.28527777777776"/>
    <n v="314.71444444444444"/>
  </r>
  <r>
    <x v="10"/>
    <s v="Kiamichi Technology Center-Poteau                 "/>
    <n v="375744"/>
    <x v="10"/>
    <s v="sem"/>
    <s v="sem"/>
    <m/>
    <m/>
    <m/>
    <m/>
    <m/>
    <m/>
    <m/>
    <m/>
    <n v="0"/>
    <m/>
    <n v="0"/>
    <n v="0"/>
    <m/>
    <n v="0"/>
    <m/>
    <m/>
    <m/>
    <m/>
    <m/>
    <m/>
    <n v="262969.25"/>
    <n v="299304"/>
    <n v="262969.25"/>
    <m/>
    <n v="292.18805555555554"/>
    <n v="299304"/>
    <m/>
    <n v="332.56"/>
    <m/>
    <m/>
    <m/>
    <m/>
    <m/>
    <m/>
    <m/>
    <m/>
    <n v="0"/>
    <n v="0"/>
    <n v="0"/>
    <n v="0"/>
    <n v="292.18805555555554"/>
    <n v="332.56"/>
  </r>
  <r>
    <x v="10"/>
    <s v="Kiamichi Technology Center-Spiro                  "/>
    <n v="375753"/>
    <x v="10"/>
    <s v="sem"/>
    <s v="sem"/>
    <m/>
    <m/>
    <m/>
    <m/>
    <m/>
    <m/>
    <m/>
    <m/>
    <n v="0"/>
    <m/>
    <n v="0"/>
    <n v="0"/>
    <m/>
    <n v="0"/>
    <m/>
    <m/>
    <m/>
    <m/>
    <m/>
    <m/>
    <n v="21777"/>
    <n v="32781"/>
    <n v="21777"/>
    <m/>
    <n v="24.196666666666665"/>
    <n v="32781"/>
    <m/>
    <n v="36.423333333333332"/>
    <m/>
    <m/>
    <m/>
    <m/>
    <m/>
    <m/>
    <m/>
    <m/>
    <n v="0"/>
    <n v="0"/>
    <n v="0"/>
    <n v="0"/>
    <n v="24.196666666666665"/>
    <n v="36.423333333333332"/>
  </r>
  <r>
    <x v="10"/>
    <s v="Kiamichi Technology Center-Stigler                "/>
    <n v="405748"/>
    <x v="10"/>
    <s v="sem"/>
    <s v="sem"/>
    <m/>
    <m/>
    <m/>
    <m/>
    <m/>
    <m/>
    <m/>
    <m/>
    <n v="0"/>
    <m/>
    <n v="0"/>
    <n v="0"/>
    <m/>
    <n v="0"/>
    <m/>
    <m/>
    <m/>
    <m/>
    <m/>
    <m/>
    <n v="78078.75"/>
    <n v="82830.25"/>
    <n v="78078.75"/>
    <m/>
    <n v="86.754166666666663"/>
    <n v="82830.25"/>
    <m/>
    <n v="92.033611111111114"/>
    <m/>
    <m/>
    <m/>
    <m/>
    <m/>
    <m/>
    <m/>
    <m/>
    <n v="0"/>
    <n v="0"/>
    <n v="0"/>
    <n v="0"/>
    <n v="86.754166666666663"/>
    <n v="92.033611111111114"/>
  </r>
  <r>
    <x v="10"/>
    <s v="Kiamichi Technology Center-Talihina               "/>
    <n v="375762"/>
    <x v="10"/>
    <s v="sem"/>
    <s v="sem"/>
    <m/>
    <m/>
    <m/>
    <m/>
    <m/>
    <m/>
    <m/>
    <m/>
    <n v="0"/>
    <m/>
    <n v="0"/>
    <n v="0"/>
    <m/>
    <n v="0"/>
    <m/>
    <m/>
    <m/>
    <m/>
    <m/>
    <m/>
    <n v="72117.25"/>
    <n v="111498"/>
    <n v="72117.25"/>
    <m/>
    <n v="80.130277777777778"/>
    <n v="111498"/>
    <m/>
    <n v="123.88666666666667"/>
    <m/>
    <m/>
    <m/>
    <m/>
    <m/>
    <m/>
    <m/>
    <m/>
    <n v="0"/>
    <n v="0"/>
    <n v="0"/>
    <n v="0"/>
    <n v="80.130277777777778"/>
    <n v="123.88666666666667"/>
  </r>
  <r>
    <x v="10"/>
    <s v="Meridian Technology Center                        "/>
    <n v="365480"/>
    <x v="10"/>
    <s v="sem"/>
    <s v="sem"/>
    <m/>
    <m/>
    <m/>
    <m/>
    <m/>
    <m/>
    <m/>
    <m/>
    <n v="0"/>
    <m/>
    <n v="0"/>
    <n v="0"/>
    <m/>
    <n v="0"/>
    <m/>
    <m/>
    <m/>
    <m/>
    <m/>
    <m/>
    <n v="501540.28"/>
    <n v="471353.1"/>
    <n v="501540.28"/>
    <m/>
    <n v="557.26697777777781"/>
    <n v="471353.1"/>
    <m/>
    <n v="523.7256666666666"/>
    <m/>
    <m/>
    <m/>
    <m/>
    <m/>
    <m/>
    <m/>
    <m/>
    <n v="0"/>
    <n v="0"/>
    <n v="0"/>
    <n v="0"/>
    <n v="557.26697777777781"/>
    <n v="523.7256666666666"/>
  </r>
  <r>
    <x v="10"/>
    <s v="Mid-America Technology Center                     "/>
    <n v="418320"/>
    <x v="10"/>
    <s v="sem"/>
    <s v="sem"/>
    <m/>
    <m/>
    <m/>
    <m/>
    <m/>
    <m/>
    <m/>
    <m/>
    <n v="0"/>
    <m/>
    <n v="0"/>
    <n v="0"/>
    <m/>
    <n v="0"/>
    <m/>
    <m/>
    <m/>
    <m/>
    <m/>
    <m/>
    <n v="461855.5"/>
    <n v="448166.75"/>
    <n v="461855.5"/>
    <m/>
    <n v="513.17277777777781"/>
    <n v="448166.75"/>
    <m/>
    <n v="497.96305555555557"/>
    <m/>
    <m/>
    <m/>
    <m/>
    <m/>
    <m/>
    <m/>
    <m/>
    <n v="0"/>
    <n v="0"/>
    <n v="0"/>
    <n v="0"/>
    <n v="513.17277777777781"/>
    <n v="497.96305555555557"/>
  </r>
  <r>
    <x v="10"/>
    <s v="Mid-Del Technology Center                         "/>
    <n v="431017"/>
    <x v="10"/>
    <s v="sem"/>
    <s v="sem"/>
    <m/>
    <m/>
    <m/>
    <m/>
    <m/>
    <m/>
    <m/>
    <m/>
    <n v="0"/>
    <m/>
    <n v="0"/>
    <n v="0"/>
    <m/>
    <n v="0"/>
    <m/>
    <m/>
    <m/>
    <m/>
    <m/>
    <m/>
    <n v="532070.75"/>
    <n v="466376.75"/>
    <n v="532070.75"/>
    <m/>
    <n v="591.18972222222226"/>
    <n v="466376.75"/>
    <m/>
    <n v="518.19638888888892"/>
    <m/>
    <m/>
    <m/>
    <m/>
    <m/>
    <m/>
    <m/>
    <m/>
    <n v="0"/>
    <n v="0"/>
    <n v="0"/>
    <n v="0"/>
    <n v="591.18972222222226"/>
    <n v="518.19638888888892"/>
  </r>
  <r>
    <x v="10"/>
    <s v="Northeast Technology Center-Afton                 "/>
    <n v="420459"/>
    <x v="10"/>
    <s v="sem"/>
    <s v="sem"/>
    <m/>
    <m/>
    <m/>
    <m/>
    <m/>
    <m/>
    <m/>
    <m/>
    <n v="0"/>
    <m/>
    <n v="0"/>
    <n v="0"/>
    <m/>
    <n v="0"/>
    <m/>
    <m/>
    <m/>
    <m/>
    <m/>
    <m/>
    <n v="357506.25"/>
    <n v="352445.25"/>
    <n v="357506.25"/>
    <m/>
    <n v="397.22916666666669"/>
    <n v="352445.25"/>
    <m/>
    <n v="391.60583333333335"/>
    <m/>
    <m/>
    <m/>
    <m/>
    <m/>
    <m/>
    <m/>
    <m/>
    <n v="0"/>
    <n v="0"/>
    <n v="0"/>
    <n v="0"/>
    <n v="397.22916666666669"/>
    <n v="391.60583333333335"/>
  </r>
  <r>
    <x v="10"/>
    <s v="Northeast Technology Center-Kansas                "/>
    <n v="432074"/>
    <x v="10"/>
    <s v="sem"/>
    <s v="sem"/>
    <m/>
    <m/>
    <m/>
    <m/>
    <m/>
    <m/>
    <m/>
    <m/>
    <n v="0"/>
    <m/>
    <n v="0"/>
    <n v="0"/>
    <m/>
    <n v="0"/>
    <m/>
    <m/>
    <m/>
    <m/>
    <m/>
    <m/>
    <n v="141349.5"/>
    <n v="136361.45000000001"/>
    <n v="141349.5"/>
    <m/>
    <n v="157.05500000000001"/>
    <n v="136361.45000000001"/>
    <m/>
    <n v="151.51272222222224"/>
    <m/>
    <m/>
    <m/>
    <m/>
    <m/>
    <m/>
    <m/>
    <m/>
    <n v="0"/>
    <n v="0"/>
    <n v="0"/>
    <n v="0"/>
    <n v="157.05500000000001"/>
    <n v="151.51272222222224"/>
  </r>
  <r>
    <x v="10"/>
    <s v="Northeast Technology Center-Pryor                 "/>
    <n v="418339"/>
    <x v="10"/>
    <s v="sem"/>
    <s v="sem"/>
    <m/>
    <m/>
    <m/>
    <m/>
    <m/>
    <m/>
    <m/>
    <m/>
    <n v="0"/>
    <m/>
    <n v="0"/>
    <n v="0"/>
    <m/>
    <n v="0"/>
    <m/>
    <m/>
    <m/>
    <m/>
    <m/>
    <m/>
    <n v="387785.75"/>
    <n v="401717.25"/>
    <n v="387785.75"/>
    <m/>
    <n v="430.87305555555554"/>
    <n v="401717.25"/>
    <m/>
    <n v="446.35250000000002"/>
    <m/>
    <m/>
    <m/>
    <m/>
    <m/>
    <m/>
    <m/>
    <m/>
    <n v="0"/>
    <n v="0"/>
    <n v="0"/>
    <n v="0"/>
    <n v="430.87305555555554"/>
    <n v="446.35250000000002"/>
  </r>
  <r>
    <x v="10"/>
    <s v="Northwest Technology Center-Alva                  "/>
    <n v="366623"/>
    <x v="10"/>
    <s v="sem"/>
    <s v="sem"/>
    <m/>
    <m/>
    <m/>
    <m/>
    <m/>
    <m/>
    <m/>
    <m/>
    <n v="0"/>
    <m/>
    <n v="0"/>
    <n v="0"/>
    <m/>
    <n v="0"/>
    <m/>
    <m/>
    <m/>
    <m/>
    <m/>
    <m/>
    <n v="83876.23"/>
    <n v="87422.5"/>
    <n v="83876.23"/>
    <m/>
    <n v="93.195811111111112"/>
    <n v="87422.5"/>
    <m/>
    <n v="97.136111111111106"/>
    <m/>
    <m/>
    <m/>
    <m/>
    <m/>
    <m/>
    <m/>
    <m/>
    <n v="0"/>
    <n v="0"/>
    <n v="0"/>
    <n v="0"/>
    <n v="93.195811111111112"/>
    <n v="97.136111111111106"/>
  </r>
  <r>
    <x v="10"/>
    <s v="Northwest Technology Center-Fairview              "/>
    <n v="407601"/>
    <x v="10"/>
    <s v="sem"/>
    <s v="sem"/>
    <m/>
    <m/>
    <m/>
    <m/>
    <m/>
    <m/>
    <m/>
    <m/>
    <n v="0"/>
    <m/>
    <n v="0"/>
    <n v="0"/>
    <m/>
    <n v="0"/>
    <m/>
    <m/>
    <m/>
    <m/>
    <m/>
    <m/>
    <n v="91790.97"/>
    <n v="79562"/>
    <n v="91790.97"/>
    <m/>
    <n v="101.98996666666667"/>
    <n v="79562"/>
    <m/>
    <n v="88.402222222222221"/>
    <m/>
    <m/>
    <m/>
    <m/>
    <m/>
    <m/>
    <m/>
    <m/>
    <n v="0"/>
    <n v="0"/>
    <n v="0"/>
    <n v="0"/>
    <n v="101.98996666666667"/>
    <n v="88.402222222222221"/>
  </r>
  <r>
    <x v="10"/>
    <s v="Pioneer Technology Center                         "/>
    <n v="364627"/>
    <x v="10"/>
    <s v="sem"/>
    <s v="sem"/>
    <m/>
    <m/>
    <m/>
    <m/>
    <m/>
    <m/>
    <m/>
    <m/>
    <n v="0"/>
    <m/>
    <n v="0"/>
    <n v="0"/>
    <m/>
    <n v="0"/>
    <m/>
    <m/>
    <m/>
    <m/>
    <m/>
    <m/>
    <n v="342207.6"/>
    <n v="308258.5"/>
    <n v="342207.6"/>
    <m/>
    <n v="380.23066666666665"/>
    <n v="308258.5"/>
    <m/>
    <n v="342.50944444444445"/>
    <m/>
    <m/>
    <m/>
    <m/>
    <m/>
    <m/>
    <m/>
    <m/>
    <n v="0"/>
    <n v="0"/>
    <n v="0"/>
    <n v="0"/>
    <n v="380.23066666666665"/>
    <n v="342.50944444444445"/>
  </r>
  <r>
    <x v="10"/>
    <s v="Pontotoc Technology Center                        "/>
    <n v="206905"/>
    <x v="10"/>
    <s v="sem"/>
    <s v="sem"/>
    <m/>
    <m/>
    <m/>
    <m/>
    <m/>
    <m/>
    <m/>
    <m/>
    <n v="0"/>
    <m/>
    <n v="0"/>
    <n v="0"/>
    <m/>
    <n v="0"/>
    <m/>
    <m/>
    <m/>
    <m/>
    <m/>
    <m/>
    <n v="264984.75"/>
    <n v="227996.65"/>
    <n v="264984.75"/>
    <m/>
    <n v="294.42750000000001"/>
    <n v="227996.65"/>
    <m/>
    <n v="253.32961111111109"/>
    <m/>
    <m/>
    <m/>
    <m/>
    <m/>
    <m/>
    <m/>
    <m/>
    <n v="0"/>
    <n v="0"/>
    <n v="0"/>
    <n v="0"/>
    <n v="294.42750000000001"/>
    <n v="253.32961111111109"/>
  </r>
  <r>
    <x v="10"/>
    <s v="Red River Technology Center                       "/>
    <n v="250993"/>
    <x v="10"/>
    <s v="sem"/>
    <s v="sem"/>
    <m/>
    <m/>
    <m/>
    <m/>
    <m/>
    <m/>
    <m/>
    <m/>
    <n v="0"/>
    <m/>
    <n v="0"/>
    <n v="0"/>
    <m/>
    <n v="0"/>
    <m/>
    <m/>
    <m/>
    <m/>
    <m/>
    <m/>
    <n v="288732"/>
    <n v="282972.75"/>
    <n v="288732"/>
    <m/>
    <n v="320.81333333333333"/>
    <n v="282972.75"/>
    <m/>
    <n v="314.41416666666669"/>
    <m/>
    <m/>
    <m/>
    <m/>
    <m/>
    <m/>
    <m/>
    <m/>
    <n v="0"/>
    <n v="0"/>
    <n v="0"/>
    <n v="0"/>
    <n v="320.81333333333333"/>
    <n v="314.41416666666669"/>
  </r>
  <r>
    <x v="10"/>
    <s v="Southern Oklahoma Technology Center               "/>
    <n v="365198"/>
    <x v="10"/>
    <s v="sem"/>
    <s v="sem"/>
    <m/>
    <m/>
    <m/>
    <m/>
    <m/>
    <m/>
    <m/>
    <m/>
    <n v="0"/>
    <m/>
    <n v="0"/>
    <n v="0"/>
    <m/>
    <n v="0"/>
    <m/>
    <m/>
    <m/>
    <m/>
    <m/>
    <m/>
    <n v="368533"/>
    <n v="344932"/>
    <n v="368533"/>
    <m/>
    <n v="409.48111111111109"/>
    <n v="344932"/>
    <m/>
    <n v="383.25777777777779"/>
    <m/>
    <m/>
    <m/>
    <m/>
    <m/>
    <m/>
    <m/>
    <m/>
    <n v="0"/>
    <n v="0"/>
    <n v="0"/>
    <n v="0"/>
    <n v="409.48111111111109"/>
    <n v="383.25777777777779"/>
  </r>
  <r>
    <x v="10"/>
    <s v="Southwest Technology Center                       "/>
    <n v="368364"/>
    <x v="10"/>
    <s v="sem"/>
    <s v="sem"/>
    <m/>
    <m/>
    <m/>
    <m/>
    <m/>
    <m/>
    <m/>
    <m/>
    <n v="0"/>
    <m/>
    <n v="0"/>
    <n v="0"/>
    <m/>
    <n v="0"/>
    <m/>
    <m/>
    <m/>
    <m/>
    <m/>
    <m/>
    <n v="221500.1"/>
    <n v="180908.98"/>
    <n v="221500.1"/>
    <m/>
    <n v="246.11122222222224"/>
    <n v="180908.98"/>
    <m/>
    <n v="201.00997777777778"/>
    <m/>
    <m/>
    <m/>
    <m/>
    <m/>
    <m/>
    <m/>
    <m/>
    <n v="0"/>
    <n v="0"/>
    <n v="0"/>
    <n v="0"/>
    <n v="246.11122222222224"/>
    <n v="201.00997777777778"/>
  </r>
  <r>
    <x v="10"/>
    <s v="Tri County Technology Center                      "/>
    <n v="418287"/>
    <x v="10"/>
    <s v="sem"/>
    <s v="sem"/>
    <m/>
    <m/>
    <m/>
    <m/>
    <m/>
    <m/>
    <m/>
    <m/>
    <n v="0"/>
    <m/>
    <n v="0"/>
    <n v="0"/>
    <m/>
    <n v="0"/>
    <m/>
    <m/>
    <m/>
    <m/>
    <m/>
    <m/>
    <n v="435214"/>
    <n v="392395.8"/>
    <n v="435214"/>
    <m/>
    <n v="483.57111111111112"/>
    <n v="392395.8"/>
    <m/>
    <n v="435.99533333333329"/>
    <m/>
    <m/>
    <m/>
    <m/>
    <m/>
    <m/>
    <m/>
    <m/>
    <n v="0"/>
    <n v="0"/>
    <n v="0"/>
    <n v="0"/>
    <n v="483.57111111111112"/>
    <n v="435.99533333333329"/>
  </r>
  <r>
    <x v="10"/>
    <s v="Tulsa County Area Voc Tech School Dist 18-Peoria  "/>
    <n v="207607"/>
    <x v="10"/>
    <s v="sem"/>
    <s v="sem"/>
    <m/>
    <m/>
    <m/>
    <m/>
    <m/>
    <m/>
    <m/>
    <m/>
    <n v="0"/>
    <m/>
    <n v="0"/>
    <n v="0"/>
    <m/>
    <n v="0"/>
    <m/>
    <m/>
    <m/>
    <m/>
    <m/>
    <m/>
    <n v="459052"/>
    <n v="374840.25"/>
    <n v="459052"/>
    <m/>
    <n v="510.0577777777778"/>
    <n v="374840.25"/>
    <m/>
    <n v="416.48916666666668"/>
    <m/>
    <m/>
    <m/>
    <m/>
    <m/>
    <m/>
    <m/>
    <m/>
    <n v="0"/>
    <n v="0"/>
    <n v="0"/>
    <n v="0"/>
    <n v="510.0577777777778"/>
    <n v="416.48916666666668"/>
  </r>
  <r>
    <x v="10"/>
    <s v="Tulsa Technology Center-Lemley Campus             "/>
    <n v="261375"/>
    <x v="10"/>
    <s v="sem"/>
    <s v="sem"/>
    <m/>
    <m/>
    <m/>
    <m/>
    <m/>
    <m/>
    <m/>
    <m/>
    <n v="0"/>
    <m/>
    <n v="0"/>
    <n v="0"/>
    <m/>
    <n v="0"/>
    <m/>
    <m/>
    <m/>
    <m/>
    <m/>
    <m/>
    <n v="774540.75"/>
    <n v="772305.5"/>
    <n v="774540.75"/>
    <m/>
    <n v="860.6008333333333"/>
    <n v="772305.5"/>
    <m/>
    <n v="858.11722222222227"/>
    <m/>
    <m/>
    <m/>
    <m/>
    <m/>
    <m/>
    <m/>
    <m/>
    <n v="0"/>
    <n v="0"/>
    <n v="0"/>
    <n v="0"/>
    <n v="860.6008333333333"/>
    <n v="858.11722222222227"/>
  </r>
  <r>
    <x v="10"/>
    <s v="Tulsa Technology Center-Riverside Campus          "/>
    <n v="261384"/>
    <x v="10"/>
    <s v="sem"/>
    <s v="sem"/>
    <m/>
    <m/>
    <m/>
    <m/>
    <m/>
    <m/>
    <m/>
    <m/>
    <n v="0"/>
    <m/>
    <n v="0"/>
    <n v="0"/>
    <m/>
    <n v="0"/>
    <m/>
    <m/>
    <m/>
    <m/>
    <m/>
    <m/>
    <n v="366286"/>
    <n v="386058.75"/>
    <n v="366286"/>
    <m/>
    <n v="406.98444444444442"/>
    <n v="386058.75"/>
    <m/>
    <n v="428.95416666666665"/>
    <m/>
    <m/>
    <m/>
    <m/>
    <m/>
    <m/>
    <m/>
    <m/>
    <n v="0"/>
    <n v="0"/>
    <n v="0"/>
    <n v="0"/>
    <n v="406.98444444444442"/>
    <n v="428.95416666666665"/>
  </r>
  <r>
    <x v="10"/>
    <s v="Wes Watkins Technology Center                     "/>
    <n v="418357"/>
    <x v="10"/>
    <s v="sem"/>
    <s v="sem"/>
    <m/>
    <m/>
    <m/>
    <m/>
    <m/>
    <m/>
    <m/>
    <m/>
    <n v="0"/>
    <m/>
    <n v="0"/>
    <n v="0"/>
    <m/>
    <n v="0"/>
    <m/>
    <m/>
    <m/>
    <m/>
    <m/>
    <m/>
    <n v="162854.75"/>
    <n v="181083.75"/>
    <n v="162854.75"/>
    <m/>
    <n v="180.94972222222222"/>
    <n v="181083.75"/>
    <m/>
    <n v="201.20416666666668"/>
    <m/>
    <m/>
    <m/>
    <m/>
    <m/>
    <m/>
    <m/>
    <m/>
    <n v="0"/>
    <n v="0"/>
    <n v="0"/>
    <n v="0"/>
    <n v="180.94972222222222"/>
    <n v="201.20416666666668"/>
  </r>
  <r>
    <x v="10"/>
    <s v="Western Technology Center                         "/>
    <n v="418302"/>
    <x v="10"/>
    <s v="sem"/>
    <s v="sem"/>
    <m/>
    <m/>
    <m/>
    <m/>
    <m/>
    <m/>
    <m/>
    <m/>
    <n v="0"/>
    <m/>
    <n v="0"/>
    <n v="0"/>
    <m/>
    <n v="0"/>
    <m/>
    <m/>
    <m/>
    <m/>
    <m/>
    <m/>
    <n v="331964.40000000002"/>
    <n v="339272.54"/>
    <n v="331964.40000000002"/>
    <m/>
    <n v="368.84933333333333"/>
    <n v="339272.54"/>
    <m/>
    <n v="376.96948888888886"/>
    <m/>
    <m/>
    <m/>
    <m/>
    <m/>
    <m/>
    <m/>
    <m/>
    <n v="0"/>
    <n v="0"/>
    <n v="0"/>
    <n v="0"/>
    <n v="368.84933333333333"/>
    <n v="376.96948888888886"/>
  </r>
  <r>
    <x v="11"/>
    <s v="Clemson University"/>
    <n v="217882"/>
    <x v="0"/>
    <s v="sem"/>
    <s v="sem"/>
    <m/>
    <m/>
    <n v="191353"/>
    <n v="194911"/>
    <n v="27349"/>
    <n v="27069"/>
    <n v="209673"/>
    <n v="219442"/>
    <n v="428375"/>
    <m/>
    <n v="14279.166666666666"/>
    <n v="441422"/>
    <m/>
    <n v="14714.066666666668"/>
    <m/>
    <m/>
    <m/>
    <m/>
    <m/>
    <m/>
    <m/>
    <m/>
    <n v="0"/>
    <m/>
    <n v="0"/>
    <n v="0"/>
    <m/>
    <n v="0"/>
    <m/>
    <m/>
    <n v="20815"/>
    <n v="21923"/>
    <n v="9622"/>
    <n v="9756"/>
    <n v="22796"/>
    <n v="28042"/>
    <n v="53233"/>
    <n v="2218.0416666666665"/>
    <n v="59721"/>
    <n v="2488.375"/>
    <n v="16497.208333333332"/>
    <n v="17202.441666666666"/>
  </r>
  <r>
    <x v="11"/>
    <s v="University of South Carolina-Columbia"/>
    <n v="218663"/>
    <x v="0"/>
    <s v="sem"/>
    <s v="sem"/>
    <m/>
    <m/>
    <n v="247447"/>
    <n v="257902"/>
    <n v="30091"/>
    <n v="29156"/>
    <n v="274633"/>
    <n v="290459"/>
    <n v="552171"/>
    <n v="322"/>
    <n v="18405.7"/>
    <n v="577517"/>
    <n v="88"/>
    <n v="19250.566666666666"/>
    <m/>
    <m/>
    <m/>
    <m/>
    <m/>
    <m/>
    <m/>
    <m/>
    <n v="0"/>
    <m/>
    <n v="0"/>
    <n v="0"/>
    <m/>
    <n v="0"/>
    <m/>
    <m/>
    <n v="44126"/>
    <n v="43779"/>
    <n v="18103"/>
    <n v="17258"/>
    <n v="48101"/>
    <n v="46105"/>
    <n v="110330"/>
    <n v="4597.083333333333"/>
    <n v="107142"/>
    <n v="4464.25"/>
    <n v="23002.783333333333"/>
    <n v="23714.816666666666"/>
  </r>
  <r>
    <x v="11"/>
    <s v="College of Charleston"/>
    <n v="217819"/>
    <x v="2"/>
    <s v="sem"/>
    <s v="sem"/>
    <m/>
    <m/>
    <n v="130315"/>
    <n v="131350"/>
    <n v="14948"/>
    <n v="14310"/>
    <n v="140108"/>
    <n v="138079"/>
    <n v="285371"/>
    <m/>
    <n v="9512.3666666666668"/>
    <n v="283739"/>
    <m/>
    <n v="9457.9666666666672"/>
    <m/>
    <m/>
    <m/>
    <m/>
    <m/>
    <m/>
    <m/>
    <m/>
    <n v="0"/>
    <m/>
    <n v="0"/>
    <n v="0"/>
    <m/>
    <n v="0"/>
    <m/>
    <m/>
    <n v="5758"/>
    <n v="6166"/>
    <n v="5205"/>
    <n v="5732"/>
    <n v="6436"/>
    <n v="6973"/>
    <n v="17399"/>
    <n v="724.95833333333337"/>
    <n v="18871"/>
    <n v="786.29166666666663"/>
    <n v="10237.325000000001"/>
    <n v="10244.258333333333"/>
  </r>
  <r>
    <x v="11"/>
    <s v="Winthrop University "/>
    <n v="218964"/>
    <x v="2"/>
    <s v="sem"/>
    <s v="sem"/>
    <m/>
    <m/>
    <n v="67625.5"/>
    <n v="66170"/>
    <n v="6140.5"/>
    <n v="6745"/>
    <n v="70994"/>
    <n v="71720.5"/>
    <n v="144760"/>
    <n v="1042"/>
    <n v="4825.333333333333"/>
    <n v="144635.5"/>
    <n v="1066"/>
    <n v="4821.1833333333334"/>
    <m/>
    <m/>
    <m/>
    <m/>
    <m/>
    <m/>
    <m/>
    <m/>
    <n v="0"/>
    <m/>
    <n v="0"/>
    <n v="0"/>
    <m/>
    <n v="0"/>
    <m/>
    <m/>
    <n v="5201"/>
    <n v="6111"/>
    <n v="3314"/>
    <n v="3742"/>
    <n v="7243"/>
    <n v="6745"/>
    <n v="15758"/>
    <n v="656.58333333333337"/>
    <n v="16598"/>
    <n v="691.58333333333337"/>
    <n v="5481.9166666666661"/>
    <n v="5512.7666666666664"/>
  </r>
  <r>
    <x v="11"/>
    <s v="The Citadel, the Military College of South Carolina "/>
    <n v="217864"/>
    <x v="3"/>
    <s v="sem"/>
    <s v="sem"/>
    <m/>
    <m/>
    <n v="36281"/>
    <n v="36405"/>
    <n v="5544"/>
    <n v="5704"/>
    <n v="38923"/>
    <n v="39478"/>
    <n v="80748"/>
    <n v="132"/>
    <n v="2691.6"/>
    <n v="81587"/>
    <n v="167"/>
    <n v="2719.5666666666666"/>
    <m/>
    <m/>
    <m/>
    <m/>
    <m/>
    <m/>
    <m/>
    <m/>
    <n v="0"/>
    <m/>
    <n v="0"/>
    <n v="0"/>
    <m/>
    <n v="0"/>
    <m/>
    <m/>
    <n v="5656"/>
    <n v="5659.5"/>
    <n v="4287"/>
    <n v="4503"/>
    <n v="5581"/>
    <n v="5633"/>
    <n v="15524"/>
    <n v="646.83333333333337"/>
    <n v="15795.5"/>
    <n v="658.14583333333337"/>
    <n v="3338.4333333333334"/>
    <n v="3377.7125000000001"/>
  </r>
  <r>
    <x v="11"/>
    <s v="Coastal Carolina University"/>
    <n v="218724"/>
    <x v="4"/>
    <s v="sem"/>
    <s v="sem"/>
    <m/>
    <m/>
    <n v="88090"/>
    <n v="93211"/>
    <n v="9520"/>
    <n v="9512"/>
    <n v="103185"/>
    <n v="110338"/>
    <n v="200795"/>
    <n v="287"/>
    <n v="6693.166666666667"/>
    <n v="213061"/>
    <n v="366"/>
    <n v="7102.0333333333338"/>
    <m/>
    <m/>
    <m/>
    <m/>
    <m/>
    <m/>
    <m/>
    <m/>
    <n v="0"/>
    <m/>
    <n v="0"/>
    <n v="0"/>
    <m/>
    <n v="0"/>
    <m/>
    <m/>
    <n v="3467"/>
    <n v="2392"/>
    <n v="3145"/>
    <n v="2349"/>
    <n v="3434"/>
    <n v="2812"/>
    <n v="10046"/>
    <n v="418.58333333333331"/>
    <n v="7553"/>
    <n v="314.70833333333331"/>
    <n v="7111.75"/>
    <n v="7416.7416666666668"/>
  </r>
  <r>
    <x v="11"/>
    <s v="Francis Marion University "/>
    <n v="218061"/>
    <x v="4"/>
    <s v="sem"/>
    <s v="sem"/>
    <m/>
    <m/>
    <n v="42227"/>
    <n v="42609"/>
    <n v="5474"/>
    <n v="5054"/>
    <n v="47377"/>
    <n v="47479"/>
    <n v="95078"/>
    <n v="503"/>
    <n v="3169.2666666666669"/>
    <n v="95142"/>
    <n v="483"/>
    <n v="3171.4"/>
    <m/>
    <m/>
    <m/>
    <m/>
    <m/>
    <m/>
    <m/>
    <m/>
    <n v="0"/>
    <m/>
    <n v="0"/>
    <n v="0"/>
    <m/>
    <n v="0"/>
    <m/>
    <m/>
    <n v="1755"/>
    <n v="1736"/>
    <n v="2021"/>
    <n v="1752"/>
    <n v="1794"/>
    <n v="2178"/>
    <n v="5570"/>
    <n v="232.08333333333334"/>
    <n v="5666"/>
    <n v="236.08333333333334"/>
    <n v="3401.3500000000004"/>
    <n v="3407.4833333333336"/>
  </r>
  <r>
    <x v="11"/>
    <s v="Lander University"/>
    <n v="218229"/>
    <x v="4"/>
    <s v="sem"/>
    <s v="sem"/>
    <m/>
    <m/>
    <n v="31585.5"/>
    <n v="30259.5"/>
    <n v="3728"/>
    <n v="3825"/>
    <n v="32288.5"/>
    <n v="35078"/>
    <n v="67602"/>
    <n v="117"/>
    <n v="2253.4"/>
    <n v="69162.5"/>
    <n v="215"/>
    <n v="2305.4166666666665"/>
    <m/>
    <m/>
    <m/>
    <m/>
    <m/>
    <m/>
    <m/>
    <m/>
    <n v="0"/>
    <m/>
    <n v="0"/>
    <n v="0"/>
    <m/>
    <n v="0"/>
    <m/>
    <m/>
    <n v="355"/>
    <n v="357"/>
    <n v="891"/>
    <n v="867"/>
    <n v="261"/>
    <n v="402"/>
    <n v="1507"/>
    <n v="62.791666666666664"/>
    <n v="1626"/>
    <n v="67.75"/>
    <n v="2316.1916666666666"/>
    <n v="2373.1666666666665"/>
  </r>
  <r>
    <x v="11"/>
    <s v="South Carolina State University "/>
    <n v="218733"/>
    <x v="4"/>
    <s v="sem"/>
    <s v="sem"/>
    <m/>
    <m/>
    <n v="53324"/>
    <n v="58657"/>
    <n v="7601"/>
    <n v="7531"/>
    <n v="63993"/>
    <n v="59286"/>
    <n v="124918"/>
    <m/>
    <n v="4163.9333333333334"/>
    <n v="125474"/>
    <n v="156"/>
    <n v="4182.4666666666662"/>
    <m/>
    <m/>
    <m/>
    <m/>
    <m/>
    <m/>
    <m/>
    <m/>
    <n v="0"/>
    <m/>
    <n v="0"/>
    <n v="0"/>
    <m/>
    <n v="0"/>
    <m/>
    <m/>
    <n v="4130"/>
    <n v="4655"/>
    <n v="2692"/>
    <n v="2957"/>
    <n v="4288"/>
    <n v="4758"/>
    <n v="11110"/>
    <n v="462.91666666666669"/>
    <n v="12370"/>
    <n v="515.41666666666663"/>
    <n v="4626.8500000000004"/>
    <n v="4697.8833333333332"/>
  </r>
  <r>
    <x v="11"/>
    <s v="University of South Carolina-Aiken"/>
    <n v="218645"/>
    <x v="5"/>
    <s v="sem"/>
    <s v="sem"/>
    <m/>
    <m/>
    <n v="36027"/>
    <n v="36699"/>
    <n v="4726"/>
    <n v="4664"/>
    <n v="39985"/>
    <n v="40140"/>
    <n v="80738"/>
    <n v="906"/>
    <n v="2691.2666666666669"/>
    <n v="81503"/>
    <n v="1113"/>
    <n v="2716.7666666666669"/>
    <m/>
    <m/>
    <m/>
    <m/>
    <m/>
    <m/>
    <m/>
    <m/>
    <n v="0"/>
    <m/>
    <n v="0"/>
    <n v="0"/>
    <m/>
    <n v="0"/>
    <m/>
    <m/>
    <n v="528"/>
    <n v="512"/>
    <n v="463"/>
    <n v="380"/>
    <n v="499"/>
    <n v="598"/>
    <n v="1490"/>
    <n v="62.083333333333336"/>
    <n v="1490"/>
    <n v="62.083333333333336"/>
    <n v="2753.3500000000004"/>
    <n v="2778.8500000000004"/>
  </r>
  <r>
    <x v="11"/>
    <s v="University of South Carolina-Upstate"/>
    <n v="218742"/>
    <x v="5"/>
    <s v="sem"/>
    <s v="sem"/>
    <m/>
    <m/>
    <n v="59380"/>
    <n v="61034"/>
    <n v="8078"/>
    <n v="8209"/>
    <n v="66448"/>
    <n v="67814"/>
    <n v="133906"/>
    <n v="201"/>
    <n v="4463.5333333333338"/>
    <n v="137057"/>
    <n v="739"/>
    <n v="4568.5666666666666"/>
    <m/>
    <m/>
    <m/>
    <m/>
    <m/>
    <m/>
    <m/>
    <m/>
    <n v="0"/>
    <m/>
    <n v="0"/>
    <n v="0"/>
    <m/>
    <n v="0"/>
    <m/>
    <m/>
    <n v="295"/>
    <n v="360"/>
    <n v="678"/>
    <n v="564"/>
    <n v="206"/>
    <n v="232"/>
    <n v="1179"/>
    <n v="49.125"/>
    <n v="1156"/>
    <n v="48.166666666666664"/>
    <n v="4512.6583333333338"/>
    <n v="4616.7333333333336"/>
  </r>
  <r>
    <x v="11"/>
    <s v="University of South Carolina-Beaufort"/>
    <n v="218654"/>
    <x v="12"/>
    <s v="sem"/>
    <s v="sem"/>
    <m/>
    <m/>
    <n v="13596"/>
    <n v="15338"/>
    <n v="2735"/>
    <n v="2454"/>
    <n v="16509"/>
    <n v="17859"/>
    <n v="32840"/>
    <n v="320"/>
    <n v="1094.6666666666667"/>
    <n v="35651"/>
    <n v="332"/>
    <n v="1188.3666666666666"/>
    <m/>
    <m/>
    <m/>
    <m/>
    <m/>
    <m/>
    <m/>
    <m/>
    <n v="0"/>
    <m/>
    <n v="0"/>
    <n v="0"/>
    <m/>
    <n v="0"/>
    <m/>
    <m/>
    <n v="0"/>
    <m/>
    <n v="0"/>
    <m/>
    <n v="0"/>
    <m/>
    <n v="0"/>
    <n v="0"/>
    <n v="0"/>
    <n v="0"/>
    <n v="1094.6666666666667"/>
    <n v="1188.3666666666666"/>
  </r>
  <r>
    <x v="11"/>
    <s v="Greenville Technical College "/>
    <n v="218113"/>
    <x v="6"/>
    <s v="sem"/>
    <s v="sem"/>
    <m/>
    <m/>
    <n v="121157.32"/>
    <n v="127396.35"/>
    <n v="49984.43"/>
    <n v="48058.9"/>
    <n v="141797.04999999996"/>
    <n v="151098.14000000001"/>
    <n v="312938.79999999993"/>
    <n v="580"/>
    <n v="10431.293333333331"/>
    <n v="326553.39"/>
    <n v="4846"/>
    <n v="10885.113000000001"/>
    <m/>
    <m/>
    <m/>
    <m/>
    <m/>
    <m/>
    <m/>
    <m/>
    <n v="0"/>
    <m/>
    <n v="0"/>
    <n v="0"/>
    <m/>
    <n v="0"/>
    <m/>
    <m/>
    <n v="0"/>
    <m/>
    <n v="0"/>
    <m/>
    <n v="0"/>
    <m/>
    <n v="0"/>
    <n v="0"/>
    <n v="0"/>
    <n v="0"/>
    <n v="10431.293333333331"/>
    <n v="10885.113000000001"/>
  </r>
  <r>
    <x v="11"/>
    <s v="Midlands Technical College "/>
    <n v="218353"/>
    <x v="6"/>
    <s v="sem"/>
    <s v="sem"/>
    <m/>
    <m/>
    <n v="101030.95000000001"/>
    <n v="104410.07"/>
    <n v="40951.24"/>
    <n v="41868.949999999997"/>
    <n v="112207.58"/>
    <n v="118218.87"/>
    <n v="254189.77000000002"/>
    <n v="1722"/>
    <n v="8472.9923333333336"/>
    <n v="264497.89"/>
    <n v="1663"/>
    <n v="8816.596333333333"/>
    <m/>
    <m/>
    <m/>
    <m/>
    <m/>
    <m/>
    <m/>
    <m/>
    <n v="0"/>
    <m/>
    <n v="0"/>
    <n v="0"/>
    <m/>
    <n v="0"/>
    <m/>
    <m/>
    <n v="0"/>
    <m/>
    <n v="0"/>
    <m/>
    <n v="0"/>
    <m/>
    <n v="0"/>
    <n v="0"/>
    <n v="0"/>
    <n v="0"/>
    <n v="8472.9923333333336"/>
    <n v="8816.596333333333"/>
  </r>
  <r>
    <x v="11"/>
    <s v="Trident Technical College "/>
    <n v="218894"/>
    <x v="6"/>
    <s v="sem"/>
    <s v="sem"/>
    <m/>
    <m/>
    <n v="107855.11"/>
    <n v="113241.93"/>
    <n v="43205.389999999992"/>
    <n v="45570.1"/>
    <n v="120329.23000000001"/>
    <n v="128017.17"/>
    <n v="271389.73"/>
    <n v="5980"/>
    <n v="9046.3243333333321"/>
    <n v="286829.2"/>
    <n v="5977"/>
    <n v="9560.9733333333334"/>
    <m/>
    <m/>
    <m/>
    <m/>
    <m/>
    <m/>
    <m/>
    <m/>
    <n v="0"/>
    <m/>
    <n v="0"/>
    <n v="0"/>
    <m/>
    <n v="0"/>
    <m/>
    <m/>
    <n v="0"/>
    <m/>
    <n v="0"/>
    <m/>
    <n v="0"/>
    <m/>
    <n v="0"/>
    <n v="0"/>
    <n v="0"/>
    <n v="0"/>
    <n v="9046.3243333333321"/>
    <n v="9560.9733333333334"/>
  </r>
  <r>
    <x v="11"/>
    <s v="Aiken Technical College "/>
    <n v="217615"/>
    <x v="7"/>
    <s v="sem"/>
    <s v="sem"/>
    <m/>
    <m/>
    <n v="25691.34"/>
    <n v="26679.67"/>
    <n v="11308.62"/>
    <n v="11818.4"/>
    <n v="27796.739999999998"/>
    <n v="29641.65"/>
    <n v="64796.7"/>
    <n v="48"/>
    <n v="2159.89"/>
    <n v="68139.72"/>
    <n v="131"/>
    <n v="2271.3240000000001"/>
    <m/>
    <m/>
    <m/>
    <m/>
    <m/>
    <m/>
    <m/>
    <m/>
    <n v="0"/>
    <m/>
    <n v="0"/>
    <n v="0"/>
    <m/>
    <n v="0"/>
    <m/>
    <m/>
    <n v="0"/>
    <m/>
    <n v="0"/>
    <m/>
    <n v="0"/>
    <m/>
    <n v="0"/>
    <n v="0"/>
    <n v="0"/>
    <n v="0"/>
    <n v="2159.89"/>
    <n v="2271.3240000000001"/>
  </r>
  <r>
    <x v="11"/>
    <s v="Central Carolina Technical College "/>
    <n v="218858"/>
    <x v="7"/>
    <s v="sem"/>
    <s v="sem"/>
    <m/>
    <m/>
    <n v="25091.680000000004"/>
    <n v="29667.48"/>
    <n v="11544.13"/>
    <n v="12184.56"/>
    <n v="31570.560000000001"/>
    <n v="30728.74"/>
    <n v="68206.37000000001"/>
    <n v="3523"/>
    <n v="2273.5456666666669"/>
    <n v="72580.78"/>
    <n v="3170"/>
    <n v="2419.3593333333333"/>
    <m/>
    <m/>
    <m/>
    <m/>
    <m/>
    <m/>
    <m/>
    <m/>
    <n v="0"/>
    <m/>
    <n v="0"/>
    <n v="0"/>
    <m/>
    <n v="0"/>
    <m/>
    <m/>
    <n v="0"/>
    <m/>
    <n v="0"/>
    <m/>
    <n v="0"/>
    <m/>
    <n v="0"/>
    <n v="0"/>
    <n v="0"/>
    <n v="0"/>
    <n v="2273.5456666666669"/>
    <n v="2419.3593333333333"/>
  </r>
  <r>
    <x v="11"/>
    <s v="Florence-Darlington Technical College "/>
    <n v="218025"/>
    <x v="7"/>
    <s v="sem"/>
    <s v="sem"/>
    <m/>
    <m/>
    <n v="39921.81"/>
    <n v="42200.79"/>
    <n v="15705.86"/>
    <n v="16454.919999999998"/>
    <n v="43954.090000000004"/>
    <n v="49144.25"/>
    <n v="99581.760000000009"/>
    <n v="622"/>
    <n v="3319.3920000000003"/>
    <n v="107799.95999999999"/>
    <n v="744"/>
    <n v="3593.3319999999999"/>
    <m/>
    <m/>
    <m/>
    <m/>
    <m/>
    <m/>
    <m/>
    <m/>
    <n v="0"/>
    <m/>
    <n v="0"/>
    <n v="0"/>
    <m/>
    <n v="0"/>
    <m/>
    <m/>
    <n v="0"/>
    <m/>
    <n v="0"/>
    <m/>
    <n v="0"/>
    <m/>
    <n v="0"/>
    <n v="0"/>
    <n v="0"/>
    <n v="0"/>
    <n v="3319.3920000000003"/>
    <n v="3593.3319999999999"/>
  </r>
  <r>
    <x v="11"/>
    <s v="Horry-Georgetown Technical College "/>
    <n v="218140"/>
    <x v="7"/>
    <s v="sem"/>
    <s v="sem"/>
    <m/>
    <m/>
    <n v="51328.31"/>
    <n v="54371.47"/>
    <n v="19081.689999999999"/>
    <n v="19365.11"/>
    <n v="57973.06"/>
    <n v="59752.67"/>
    <n v="128383.06"/>
    <n v="2322"/>
    <n v="4279.4353333333329"/>
    <n v="133489.25"/>
    <n v="2366"/>
    <n v="4449.6416666666664"/>
    <m/>
    <m/>
    <m/>
    <m/>
    <m/>
    <m/>
    <m/>
    <m/>
    <n v="0"/>
    <m/>
    <n v="0"/>
    <n v="0"/>
    <m/>
    <n v="0"/>
    <m/>
    <m/>
    <n v="0"/>
    <m/>
    <n v="0"/>
    <m/>
    <n v="0"/>
    <m/>
    <n v="0"/>
    <n v="0"/>
    <n v="0"/>
    <n v="0"/>
    <n v="4279.4353333333329"/>
    <n v="4449.6416666666664"/>
  </r>
  <r>
    <x v="11"/>
    <s v="Orangeburg-Calhoun Technical College"/>
    <n v="218487"/>
    <x v="7"/>
    <s v="sem"/>
    <s v="sem"/>
    <m/>
    <m/>
    <n v="24689.759999999998"/>
    <n v="23247.19"/>
    <n v="10406.580000000002"/>
    <n v="10059.17"/>
    <n v="26175.050000000003"/>
    <n v="29056.79"/>
    <n v="61271.39"/>
    <n v="2132"/>
    <n v="2042.3796666666667"/>
    <n v="62363.15"/>
    <n v="3561"/>
    <n v="2078.7716666666665"/>
    <m/>
    <m/>
    <m/>
    <m/>
    <m/>
    <m/>
    <m/>
    <m/>
    <n v="0"/>
    <m/>
    <n v="0"/>
    <n v="0"/>
    <m/>
    <n v="0"/>
    <m/>
    <m/>
    <n v="0"/>
    <m/>
    <n v="0"/>
    <m/>
    <n v="0"/>
    <m/>
    <n v="0"/>
    <n v="0"/>
    <n v="0"/>
    <n v="0"/>
    <n v="2042.3796666666667"/>
    <n v="2078.7716666666665"/>
  </r>
  <r>
    <x v="11"/>
    <s v="Piedmont Technical College "/>
    <n v="218520"/>
    <x v="7"/>
    <s v="sem"/>
    <s v="sem"/>
    <m/>
    <m/>
    <n v="44371.98"/>
    <n v="47232.11"/>
    <n v="22164.02"/>
    <n v="20808.52"/>
    <n v="51931.87"/>
    <n v="53255.92"/>
    <n v="118467.87"/>
    <n v="7082"/>
    <n v="3948.9289999999996"/>
    <n v="121296.55"/>
    <n v="7361"/>
    <n v="4043.2183333333332"/>
    <m/>
    <m/>
    <m/>
    <m/>
    <m/>
    <m/>
    <m/>
    <m/>
    <n v="0"/>
    <m/>
    <n v="0"/>
    <n v="0"/>
    <m/>
    <n v="0"/>
    <m/>
    <m/>
    <n v="0"/>
    <m/>
    <n v="0"/>
    <m/>
    <n v="0"/>
    <m/>
    <n v="0"/>
    <n v="0"/>
    <n v="0"/>
    <n v="0"/>
    <n v="3948.9289999999996"/>
    <n v="4043.2183333333332"/>
  </r>
  <r>
    <x v="11"/>
    <s v="Spartanburg Technical College "/>
    <n v="218830"/>
    <x v="7"/>
    <s v="sem"/>
    <s v="sem"/>
    <m/>
    <m/>
    <n v="43054.31"/>
    <n v="47186.6"/>
    <n v="16063.719999999998"/>
    <n v="16579.330000000002"/>
    <n v="48980.54"/>
    <n v="50817.52"/>
    <n v="108098.57"/>
    <n v="87"/>
    <n v="3603.2856666666671"/>
    <n v="114583.45"/>
    <n v="539"/>
    <n v="3819.4483333333333"/>
    <m/>
    <m/>
    <m/>
    <m/>
    <m/>
    <m/>
    <m/>
    <m/>
    <n v="0"/>
    <m/>
    <n v="0"/>
    <n v="0"/>
    <m/>
    <n v="0"/>
    <m/>
    <m/>
    <n v="0"/>
    <m/>
    <n v="0"/>
    <m/>
    <n v="0"/>
    <m/>
    <n v="0"/>
    <n v="0"/>
    <n v="0"/>
    <n v="0"/>
    <n v="3603.2856666666671"/>
    <n v="3819.4483333333333"/>
  </r>
  <r>
    <x v="11"/>
    <s v="Tri-County Technical College "/>
    <n v="218885"/>
    <x v="7"/>
    <s v="sem"/>
    <s v="sem"/>
    <m/>
    <m/>
    <n v="50210.83"/>
    <n v="53297.39"/>
    <n v="19830.59"/>
    <n v="19922.189999999999"/>
    <n v="58192.09"/>
    <n v="65809.89"/>
    <n v="128233.51"/>
    <n v="6086"/>
    <n v="4274.4503333333332"/>
    <n v="139029.47"/>
    <n v="7504"/>
    <n v="4634.3156666666664"/>
    <m/>
    <m/>
    <m/>
    <m/>
    <m/>
    <m/>
    <m/>
    <m/>
    <n v="0"/>
    <m/>
    <n v="0"/>
    <n v="0"/>
    <m/>
    <n v="0"/>
    <m/>
    <m/>
    <n v="0"/>
    <m/>
    <n v="0"/>
    <m/>
    <n v="0"/>
    <m/>
    <n v="0"/>
    <n v="0"/>
    <n v="0"/>
    <n v="0"/>
    <n v="4274.4503333333332"/>
    <n v="4634.3156666666664"/>
  </r>
  <r>
    <x v="11"/>
    <s v="York Technical College "/>
    <n v="218991"/>
    <x v="7"/>
    <s v="sem"/>
    <s v="sem"/>
    <m/>
    <m/>
    <n v="42657.82"/>
    <n v="46418.92"/>
    <n v="18985.739999999998"/>
    <n v="21602.75"/>
    <n v="50805.33"/>
    <n v="54637.85"/>
    <n v="112448.89"/>
    <n v="3779"/>
    <n v="3748.2963333333332"/>
    <n v="122659.51999999999"/>
    <n v="5594"/>
    <n v="4088.6506666666664"/>
    <m/>
    <m/>
    <m/>
    <m/>
    <m/>
    <m/>
    <m/>
    <m/>
    <n v="0"/>
    <m/>
    <n v="0"/>
    <n v="0"/>
    <m/>
    <n v="0"/>
    <m/>
    <m/>
    <n v="0"/>
    <m/>
    <n v="0"/>
    <m/>
    <n v="0"/>
    <m/>
    <n v="0"/>
    <n v="0"/>
    <n v="0"/>
    <n v="0"/>
    <n v="3748.2963333333332"/>
    <n v="4088.6506666666664"/>
  </r>
  <r>
    <x v="11"/>
    <s v="Denmark Technical College "/>
    <n v="217989"/>
    <x v="8"/>
    <s v="sem"/>
    <s v="sem"/>
    <m/>
    <m/>
    <n v="15368.26"/>
    <n v="15040.77"/>
    <n v="3271.4700000000003"/>
    <n v="3587.27"/>
    <n v="16265.39"/>
    <n v="19149.560000000001"/>
    <n v="34905.119999999995"/>
    <n v="62"/>
    <n v="1163.5039999999999"/>
    <n v="37777.600000000006"/>
    <n v="741"/>
    <n v="1259.2533333333336"/>
    <m/>
    <m/>
    <m/>
    <m/>
    <m/>
    <m/>
    <m/>
    <m/>
    <n v="0"/>
    <m/>
    <n v="0"/>
    <n v="0"/>
    <m/>
    <n v="0"/>
    <m/>
    <m/>
    <n v="0"/>
    <m/>
    <n v="0"/>
    <m/>
    <n v="0"/>
    <m/>
    <n v="0"/>
    <n v="0"/>
    <n v="0"/>
    <n v="0"/>
    <n v="1163.5039999999999"/>
    <n v="1259.2533333333336"/>
  </r>
  <r>
    <x v="11"/>
    <s v="Northeastern Technical College"/>
    <n v="217837"/>
    <x v="8"/>
    <s v="sem"/>
    <s v="sem"/>
    <m/>
    <m/>
    <n v="11084.71"/>
    <n v="9290.5400000000009"/>
    <n v="5602.93"/>
    <n v="5077.67"/>
    <n v="10890.41"/>
    <n v="11295.65"/>
    <n v="27578.05"/>
    <n v="193"/>
    <n v="919.26833333333332"/>
    <n v="25663.86"/>
    <n v="557"/>
    <n v="855.46199999999999"/>
    <m/>
    <m/>
    <m/>
    <m/>
    <m/>
    <m/>
    <m/>
    <m/>
    <n v="0"/>
    <m/>
    <n v="0"/>
    <n v="0"/>
    <m/>
    <n v="0"/>
    <m/>
    <m/>
    <n v="0"/>
    <m/>
    <n v="0"/>
    <m/>
    <n v="0"/>
    <m/>
    <n v="0"/>
    <n v="0"/>
    <n v="0"/>
    <n v="0"/>
    <n v="919.26833333333332"/>
    <n v="855.46199999999999"/>
  </r>
  <r>
    <x v="11"/>
    <s v="Technical College of the Low Country"/>
    <n v="217712"/>
    <x v="8"/>
    <s v="sem"/>
    <s v="sem"/>
    <m/>
    <m/>
    <n v="17011.510000000002"/>
    <n v="17323.27"/>
    <n v="7623.93"/>
    <n v="7570.6"/>
    <n v="19059.37"/>
    <n v="20877.580000000002"/>
    <n v="43694.81"/>
    <n v="2145"/>
    <n v="1456.4936666666665"/>
    <n v="45771.450000000004"/>
    <n v="2767"/>
    <n v="1525.7150000000001"/>
    <m/>
    <m/>
    <m/>
    <m/>
    <m/>
    <m/>
    <m/>
    <m/>
    <n v="0"/>
    <m/>
    <n v="0"/>
    <n v="0"/>
    <m/>
    <n v="0"/>
    <m/>
    <m/>
    <n v="0"/>
    <m/>
    <n v="0"/>
    <m/>
    <n v="0"/>
    <m/>
    <n v="0"/>
    <n v="0"/>
    <n v="0"/>
    <n v="0"/>
    <n v="1456.4936666666665"/>
    <n v="1525.7150000000001"/>
  </r>
  <r>
    <x v="11"/>
    <s v="University of South Carolina-Lancaster"/>
    <n v="218672"/>
    <x v="8"/>
    <s v="sem"/>
    <s v="sem"/>
    <m/>
    <m/>
    <n v="11785"/>
    <n v="12818"/>
    <n v="1804"/>
    <n v="1749"/>
    <n v="14939"/>
    <n v="16184"/>
    <n v="28528"/>
    <n v="2217"/>
    <n v="950.93333333333328"/>
    <n v="30751"/>
    <n v="2642"/>
    <n v="1025.0333333333333"/>
    <m/>
    <m/>
    <m/>
    <m/>
    <m/>
    <m/>
    <m/>
    <m/>
    <n v="0"/>
    <m/>
    <n v="0"/>
    <n v="0"/>
    <m/>
    <n v="0"/>
    <m/>
    <m/>
    <n v="0"/>
    <m/>
    <n v="0"/>
    <m/>
    <n v="0"/>
    <m/>
    <n v="0"/>
    <n v="0"/>
    <n v="0"/>
    <n v="0"/>
    <n v="950.93333333333328"/>
    <n v="1025.0333333333333"/>
  </r>
  <r>
    <x v="11"/>
    <s v="University of South Carolina-Salkehatchie"/>
    <n v="218681"/>
    <x v="8"/>
    <s v="sem"/>
    <s v="sem"/>
    <m/>
    <m/>
    <n v="6790"/>
    <n v="7979"/>
    <n v="820"/>
    <n v="944"/>
    <n v="8960"/>
    <n v="9332"/>
    <n v="16570"/>
    <n v="1221"/>
    <n v="552.33333333333337"/>
    <n v="18255"/>
    <n v="1230"/>
    <n v="608.5"/>
    <m/>
    <m/>
    <m/>
    <m/>
    <m/>
    <m/>
    <m/>
    <m/>
    <n v="0"/>
    <m/>
    <n v="0"/>
    <n v="0"/>
    <m/>
    <n v="0"/>
    <m/>
    <m/>
    <n v="0"/>
    <m/>
    <n v="0"/>
    <m/>
    <n v="0"/>
    <m/>
    <n v="0"/>
    <n v="0"/>
    <n v="0"/>
    <n v="0"/>
    <n v="552.33333333333337"/>
    <n v="608.5"/>
  </r>
  <r>
    <x v="11"/>
    <s v="University of South Carolina-Sumter"/>
    <n v="218690"/>
    <x v="8"/>
    <s v="sem"/>
    <s v="sem"/>
    <m/>
    <m/>
    <n v="10269"/>
    <n v="11492"/>
    <n v="1562"/>
    <n v="1591"/>
    <n v="12852"/>
    <n v="13020"/>
    <n v="24683"/>
    <n v="1643"/>
    <n v="822.76666666666665"/>
    <n v="26103"/>
    <n v="2203"/>
    <n v="870.1"/>
    <m/>
    <m/>
    <m/>
    <m/>
    <m/>
    <m/>
    <m/>
    <m/>
    <n v="0"/>
    <m/>
    <n v="0"/>
    <n v="0"/>
    <m/>
    <n v="0"/>
    <m/>
    <m/>
    <n v="0"/>
    <m/>
    <n v="0"/>
    <m/>
    <n v="0"/>
    <m/>
    <n v="0"/>
    <n v="0"/>
    <n v="0"/>
    <n v="0"/>
    <n v="822.76666666666665"/>
    <n v="870.1"/>
  </r>
  <r>
    <x v="11"/>
    <s v="University of South Carolina-Union"/>
    <n v="218706"/>
    <x v="8"/>
    <s v="sem"/>
    <s v="sem"/>
    <m/>
    <m/>
    <n v="3726"/>
    <n v="3832"/>
    <n v="526"/>
    <n v="482"/>
    <n v="3977"/>
    <n v="3723"/>
    <n v="8229"/>
    <n v="1985"/>
    <n v="274.3"/>
    <n v="8037"/>
    <n v="1922"/>
    <n v="267.89999999999998"/>
    <m/>
    <m/>
    <m/>
    <m/>
    <m/>
    <m/>
    <m/>
    <m/>
    <n v="0"/>
    <m/>
    <n v="0"/>
    <n v="0"/>
    <m/>
    <n v="0"/>
    <m/>
    <m/>
    <n v="0"/>
    <m/>
    <n v="0"/>
    <m/>
    <n v="0"/>
    <m/>
    <n v="0"/>
    <n v="0"/>
    <n v="0"/>
    <n v="0"/>
    <n v="274.3"/>
    <n v="267.89999999999998"/>
  </r>
  <r>
    <x v="11"/>
    <s v="Willamsburg Technical College "/>
    <n v="218955"/>
    <x v="8"/>
    <s v="sem"/>
    <s v="sem"/>
    <m/>
    <m/>
    <n v="5969.87"/>
    <n v="5228.26"/>
    <n v="3504.8500000000004"/>
    <n v="3205.54"/>
    <n v="5643.23"/>
    <n v="6429.28"/>
    <n v="15117.95"/>
    <n v="781"/>
    <n v="503.93166666666667"/>
    <n v="14863.079999999998"/>
    <n v="809"/>
    <n v="495.43599999999992"/>
    <m/>
    <m/>
    <m/>
    <m/>
    <m/>
    <m/>
    <m/>
    <m/>
    <n v="0"/>
    <m/>
    <n v="0"/>
    <n v="0"/>
    <m/>
    <n v="0"/>
    <m/>
    <m/>
    <n v="0"/>
    <m/>
    <n v="0"/>
    <m/>
    <n v="0"/>
    <m/>
    <n v="0"/>
    <n v="0"/>
    <n v="0"/>
    <n v="0"/>
    <n v="503.93166666666667"/>
    <n v="495.43599999999992"/>
  </r>
  <r>
    <x v="12"/>
    <s v="University of Tennessee, Knoxville"/>
    <n v="221759"/>
    <x v="0"/>
    <s v="sem"/>
    <s v="sem"/>
    <m/>
    <m/>
    <n v="267410"/>
    <n v="279645"/>
    <n v="34605"/>
    <n v="35190"/>
    <n v="295303"/>
    <n v="306235"/>
    <n v="597318"/>
    <n v="851"/>
    <n v="19910.599999999999"/>
    <n v="621070"/>
    <n v="837"/>
    <n v="20702.333333333332"/>
    <m/>
    <m/>
    <m/>
    <m/>
    <m/>
    <m/>
    <m/>
    <m/>
    <n v="0"/>
    <m/>
    <n v="0"/>
    <n v="0"/>
    <m/>
    <n v="0"/>
    <m/>
    <m/>
    <n v="50996"/>
    <n v="49425"/>
    <n v="18335"/>
    <n v="18019"/>
    <n v="53672"/>
    <n v="54913"/>
    <n v="123003"/>
    <n v="5125.125"/>
    <n v="122357"/>
    <n v="5098.208333333333"/>
    <n v="25035.724999999999"/>
    <n v="25800.541666666664"/>
  </r>
  <r>
    <x v="12"/>
    <s v="University of Memphis"/>
    <n v="220862"/>
    <x v="1"/>
    <s v="sem"/>
    <s v="sem"/>
    <m/>
    <m/>
    <n v="177465"/>
    <n v="176816"/>
    <n v="34919"/>
    <n v="29438"/>
    <n v="192027"/>
    <n v="194725"/>
    <n v="404411"/>
    <n v="1576"/>
    <n v="13480.366666666667"/>
    <n v="400979"/>
    <n v="2163"/>
    <n v="13365.966666666667"/>
    <m/>
    <m/>
    <m/>
    <m/>
    <m/>
    <m/>
    <m/>
    <m/>
    <n v="0"/>
    <m/>
    <n v="0"/>
    <n v="0"/>
    <m/>
    <n v="0"/>
    <m/>
    <m/>
    <n v="30411"/>
    <n v="34759"/>
    <n v="7068"/>
    <n v="6635"/>
    <n v="35602"/>
    <n v="35138"/>
    <n v="73081"/>
    <n v="3045.0416666666665"/>
    <n v="76532"/>
    <n v="3188.8333333333335"/>
    <n v="16525.408333333333"/>
    <n v="16554.8"/>
  </r>
  <r>
    <x v="12"/>
    <s v="East Tennessee State University "/>
    <n v="220075"/>
    <x v="2"/>
    <s v="sem"/>
    <s v="sem"/>
    <m/>
    <m/>
    <n v="122747"/>
    <n v="128373"/>
    <n v="23286"/>
    <n v="22086"/>
    <n v="140678"/>
    <n v="144891"/>
    <n v="286711"/>
    <n v="569"/>
    <n v="9557.0333333333328"/>
    <n v="295350"/>
    <n v="1280"/>
    <n v="9845"/>
    <m/>
    <m/>
    <m/>
    <m/>
    <m/>
    <m/>
    <m/>
    <m/>
    <n v="0"/>
    <m/>
    <n v="0"/>
    <n v="0"/>
    <m/>
    <n v="0"/>
    <m/>
    <m/>
    <n v="14266"/>
    <n v="16054"/>
    <n v="6082"/>
    <n v="6515"/>
    <n v="16699"/>
    <n v="17495"/>
    <n v="37047"/>
    <n v="1543.625"/>
    <n v="40064"/>
    <n v="1669.3333333333333"/>
    <n v="11100.658333333333"/>
    <n v="11514.333333333334"/>
  </r>
  <r>
    <x v="12"/>
    <s v="Middle Tennessee State University "/>
    <n v="220978"/>
    <x v="2"/>
    <s v="sem"/>
    <s v="sem"/>
    <m/>
    <m/>
    <n v="247045"/>
    <n v="250712"/>
    <n v="48301"/>
    <n v="41456"/>
    <n v="274075"/>
    <n v="280002"/>
    <n v="569421"/>
    <n v="1426"/>
    <n v="18980.7"/>
    <n v="572170"/>
    <n v="1463"/>
    <n v="19072.333333333332"/>
    <m/>
    <m/>
    <m/>
    <m/>
    <m/>
    <m/>
    <m/>
    <m/>
    <n v="0"/>
    <m/>
    <n v="0"/>
    <n v="0"/>
    <m/>
    <n v="0"/>
    <m/>
    <m/>
    <n v="13785"/>
    <n v="13997"/>
    <n v="7838"/>
    <n v="7583"/>
    <n v="15291"/>
    <n v="16762"/>
    <n v="36914"/>
    <n v="1538.0833333333333"/>
    <n v="38342"/>
    <n v="1597.5833333333333"/>
    <n v="20518.783333333333"/>
    <n v="20669.916666666664"/>
  </r>
  <r>
    <x v="12"/>
    <s v="Tennessee State University "/>
    <n v="221838"/>
    <x v="2"/>
    <s v="sem"/>
    <s v="sem"/>
    <m/>
    <m/>
    <n v="89770"/>
    <n v="87569"/>
    <n v="12931"/>
    <n v="9895"/>
    <n v="95019"/>
    <n v="84732"/>
    <n v="197720"/>
    <n v="0"/>
    <n v="6590.666666666667"/>
    <n v="182196"/>
    <n v="0"/>
    <n v="6073.2"/>
    <m/>
    <m/>
    <m/>
    <m/>
    <m/>
    <m/>
    <m/>
    <m/>
    <n v="0"/>
    <m/>
    <n v="0"/>
    <n v="0"/>
    <m/>
    <n v="0"/>
    <m/>
    <m/>
    <n v="11113"/>
    <n v="13161"/>
    <n v="5442"/>
    <n v="5730"/>
    <n v="13568"/>
    <n v="12548"/>
    <n v="30123"/>
    <n v="1255.125"/>
    <n v="31439"/>
    <n v="1309.9583333333333"/>
    <n v="7845.791666666667"/>
    <n v="7383.1583333333328"/>
  </r>
  <r>
    <x v="12"/>
    <s v="University of Tennessee at Chattanooga"/>
    <n v="221740"/>
    <x v="2"/>
    <s v="sem"/>
    <s v="sem"/>
    <m/>
    <m/>
    <n v="90876"/>
    <n v="97708"/>
    <n v="11262"/>
    <n v="15424"/>
    <n v="109743"/>
    <n v="113440"/>
    <n v="211881"/>
    <n v="528"/>
    <n v="7062.7"/>
    <n v="226572"/>
    <n v="421"/>
    <n v="7552.4"/>
    <m/>
    <m/>
    <m/>
    <m/>
    <m/>
    <m/>
    <m/>
    <m/>
    <n v="0"/>
    <m/>
    <n v="0"/>
    <n v="0"/>
    <m/>
    <n v="0"/>
    <m/>
    <m/>
    <n v="8915"/>
    <n v="9407"/>
    <n v="3812"/>
    <n v="5857"/>
    <n v="10218"/>
    <n v="10601"/>
    <n v="22945"/>
    <n v="956.04166666666663"/>
    <n v="25865"/>
    <n v="1077.7083333333333"/>
    <n v="8018.7416666666668"/>
    <n v="8630.1083333333336"/>
  </r>
  <r>
    <x v="12"/>
    <s v="Austin Peay State University "/>
    <n v="219602"/>
    <x v="3"/>
    <s v="sem"/>
    <s v="sem"/>
    <m/>
    <m/>
    <n v="92022"/>
    <n v="90711"/>
    <n v="20595"/>
    <n v="20505"/>
    <n v="101432"/>
    <n v="105826"/>
    <n v="214049"/>
    <n v="179"/>
    <n v="7134.9666666666662"/>
    <n v="217042"/>
    <n v="975"/>
    <n v="7234.7333333333336"/>
    <m/>
    <m/>
    <m/>
    <m/>
    <m/>
    <m/>
    <m/>
    <m/>
    <n v="0"/>
    <m/>
    <n v="0"/>
    <n v="0"/>
    <m/>
    <n v="0"/>
    <m/>
    <m/>
    <n v="4568"/>
    <n v="5611"/>
    <n v="2057"/>
    <n v="2472"/>
    <n v="4918"/>
    <n v="5326"/>
    <n v="11543"/>
    <n v="480.95833333333331"/>
    <n v="13409"/>
    <n v="558.70833333333337"/>
    <n v="7615.9249999999993"/>
    <n v="7793.4416666666666"/>
  </r>
  <r>
    <x v="12"/>
    <s v="Tennessee Technological University "/>
    <n v="221847"/>
    <x v="3"/>
    <s v="sem"/>
    <s v="sem"/>
    <m/>
    <m/>
    <n v="94994"/>
    <n v="100323"/>
    <n v="10540"/>
    <n v="10467"/>
    <n v="109516"/>
    <n v="113274"/>
    <n v="215050"/>
    <n v="272"/>
    <n v="7168.333333333333"/>
    <n v="224064"/>
    <n v="341"/>
    <n v="7468.8"/>
    <m/>
    <m/>
    <m/>
    <m/>
    <m/>
    <m/>
    <m/>
    <m/>
    <n v="0"/>
    <m/>
    <n v="0"/>
    <n v="0"/>
    <m/>
    <n v="0"/>
    <m/>
    <m/>
    <n v="11016"/>
    <n v="11392"/>
    <n v="6869"/>
    <n v="7587"/>
    <n v="12126"/>
    <n v="12194"/>
    <n v="30011"/>
    <n v="1250.4583333333333"/>
    <n v="31173"/>
    <n v="1298.875"/>
    <n v="8418.7916666666661"/>
    <n v="8767.6749999999993"/>
  </r>
  <r>
    <x v="12"/>
    <s v="University of Tennessee at Martin"/>
    <n v="221768"/>
    <x v="4"/>
    <s v="sem"/>
    <s v="sem"/>
    <m/>
    <m/>
    <n v="79672"/>
    <n v="82532"/>
    <n v="12038"/>
    <n v="10712"/>
    <n v="88473"/>
    <n v="91420"/>
    <n v="180183"/>
    <n v="5861"/>
    <n v="6006.1"/>
    <n v="184664"/>
    <n v="6044"/>
    <n v="6155.4666666666662"/>
    <m/>
    <m/>
    <m/>
    <m/>
    <m/>
    <m/>
    <m/>
    <m/>
    <n v="0"/>
    <m/>
    <n v="0"/>
    <n v="0"/>
    <m/>
    <n v="0"/>
    <m/>
    <m/>
    <n v="2730"/>
    <n v="2223"/>
    <n v="1471"/>
    <n v="1523"/>
    <n v="2515"/>
    <n v="2528"/>
    <n v="6716"/>
    <n v="279.83333333333331"/>
    <n v="6274"/>
    <n v="261.41666666666669"/>
    <n v="6285.9333333333334"/>
    <n v="6416.8833333333332"/>
  </r>
  <r>
    <x v="12"/>
    <s v="Chattanooga State Technical Community College "/>
    <n v="219824"/>
    <x v="6"/>
    <s v="sem"/>
    <s v="sem"/>
    <m/>
    <m/>
    <n v="67376"/>
    <n v="66587"/>
    <n v="14443"/>
    <n v="13892"/>
    <n v="75655"/>
    <n v="80011"/>
    <n v="157474"/>
    <n v="11514"/>
    <n v="5249.1333333333332"/>
    <n v="160490"/>
    <n v="10495"/>
    <n v="5349.666666666667"/>
    <m/>
    <m/>
    <m/>
    <m/>
    <m/>
    <m/>
    <m/>
    <m/>
    <n v="0"/>
    <m/>
    <n v="0"/>
    <n v="0"/>
    <m/>
    <n v="0"/>
    <m/>
    <m/>
    <m/>
    <m/>
    <m/>
    <m/>
    <m/>
    <m/>
    <n v="0"/>
    <n v="0"/>
    <n v="0"/>
    <n v="0"/>
    <n v="5249.1333333333332"/>
    <n v="5349.666666666667"/>
  </r>
  <r>
    <x v="12"/>
    <s v="Pellissippi State Technical Community College"/>
    <n v="221643"/>
    <x v="6"/>
    <s v="sem"/>
    <s v="sem"/>
    <m/>
    <m/>
    <n v="73451"/>
    <n v="78038"/>
    <n v="17031"/>
    <n v="19342"/>
    <n v="81692"/>
    <n v="85295"/>
    <n v="172174"/>
    <n v="2904"/>
    <n v="5739.1333333333332"/>
    <n v="182675"/>
    <n v="3523"/>
    <n v="6089.166666666667"/>
    <m/>
    <m/>
    <m/>
    <m/>
    <m/>
    <m/>
    <m/>
    <m/>
    <n v="0"/>
    <m/>
    <n v="0"/>
    <n v="0"/>
    <m/>
    <n v="0"/>
    <m/>
    <m/>
    <m/>
    <m/>
    <m/>
    <m/>
    <m/>
    <m/>
    <n v="0"/>
    <n v="0"/>
    <n v="0"/>
    <n v="0"/>
    <n v="5739.1333333333332"/>
    <n v="6089.166666666667"/>
  </r>
  <r>
    <x v="12"/>
    <s v="Southwest Tennessee Community College"/>
    <n v="221485"/>
    <x v="6"/>
    <s v="sem"/>
    <s v="sem"/>
    <m/>
    <m/>
    <n v="99966"/>
    <n v="95628"/>
    <n v="34575"/>
    <n v="30543"/>
    <n v="101909"/>
    <n v="108283"/>
    <n v="236450"/>
    <n v="1047"/>
    <n v="7881.666666666667"/>
    <n v="234454"/>
    <n v="1173"/>
    <n v="7815.1333333333332"/>
    <m/>
    <m/>
    <m/>
    <m/>
    <m/>
    <m/>
    <m/>
    <m/>
    <n v="0"/>
    <m/>
    <n v="0"/>
    <n v="0"/>
    <m/>
    <n v="0"/>
    <m/>
    <m/>
    <m/>
    <m/>
    <m/>
    <m/>
    <m/>
    <m/>
    <n v="0"/>
    <n v="0"/>
    <n v="0"/>
    <n v="0"/>
    <n v="7881.666666666667"/>
    <n v="7815.1333333333332"/>
  </r>
  <r>
    <x v="12"/>
    <s v="Cleveland State Community College "/>
    <n v="219879"/>
    <x v="7"/>
    <s v="sem"/>
    <s v="sem"/>
    <m/>
    <m/>
    <n v="26206"/>
    <n v="28197"/>
    <n v="4050"/>
    <n v="5104"/>
    <n v="30333"/>
    <n v="32924"/>
    <n v="60589"/>
    <n v="1786"/>
    <n v="2019.6333333333334"/>
    <n v="66225"/>
    <n v="2603"/>
    <n v="2207.5"/>
    <m/>
    <m/>
    <m/>
    <m/>
    <m/>
    <m/>
    <m/>
    <m/>
    <n v="0"/>
    <m/>
    <n v="0"/>
    <n v="0"/>
    <m/>
    <n v="0"/>
    <m/>
    <m/>
    <m/>
    <m/>
    <m/>
    <m/>
    <m/>
    <m/>
    <n v="0"/>
    <n v="0"/>
    <n v="0"/>
    <n v="0"/>
    <n v="2019.6333333333334"/>
    <n v="2207.5"/>
  </r>
  <r>
    <x v="12"/>
    <s v="Columbia State Community College "/>
    <n v="219888"/>
    <x v="7"/>
    <s v="sem"/>
    <s v="sem"/>
    <m/>
    <m/>
    <n v="39521"/>
    <n v="40903"/>
    <n v="8250"/>
    <n v="8676"/>
    <n v="45049"/>
    <n v="46216"/>
    <n v="92820"/>
    <n v="2327"/>
    <n v="3094"/>
    <n v="95795"/>
    <n v="3587"/>
    <n v="3193.1666666666665"/>
    <m/>
    <m/>
    <m/>
    <m/>
    <m/>
    <m/>
    <m/>
    <m/>
    <n v="0"/>
    <m/>
    <n v="0"/>
    <n v="0"/>
    <m/>
    <n v="0"/>
    <m/>
    <m/>
    <m/>
    <m/>
    <m/>
    <m/>
    <m/>
    <m/>
    <n v="0"/>
    <n v="0"/>
    <n v="0"/>
    <n v="0"/>
    <n v="3094"/>
    <n v="3193.1666666666665"/>
  </r>
  <r>
    <x v="12"/>
    <s v="Jackson State Community College "/>
    <n v="220400"/>
    <x v="7"/>
    <s v="sem"/>
    <s v="sem"/>
    <m/>
    <m/>
    <n v="38686"/>
    <n v="39424"/>
    <n v="9603"/>
    <n v="10798"/>
    <n v="44296"/>
    <n v="42051"/>
    <n v="92585"/>
    <n v="886"/>
    <n v="3086.1666666666665"/>
    <n v="92273"/>
    <n v="2353"/>
    <n v="3075.7666666666669"/>
    <m/>
    <m/>
    <m/>
    <m/>
    <m/>
    <m/>
    <m/>
    <m/>
    <n v="0"/>
    <m/>
    <n v="0"/>
    <n v="0"/>
    <m/>
    <n v="0"/>
    <m/>
    <m/>
    <m/>
    <m/>
    <m/>
    <m/>
    <m/>
    <m/>
    <n v="0"/>
    <n v="0"/>
    <n v="0"/>
    <n v="0"/>
    <n v="3086.1666666666665"/>
    <n v="3075.7666666666669"/>
  </r>
  <r>
    <x v="12"/>
    <s v="Motlow State Community College "/>
    <n v="221096"/>
    <x v="7"/>
    <s v="sem"/>
    <s v="sem"/>
    <m/>
    <m/>
    <n v="35799"/>
    <n v="39112"/>
    <n v="5366"/>
    <n v="6787"/>
    <n v="41078"/>
    <n v="43378"/>
    <n v="82243"/>
    <n v="2948"/>
    <n v="2741.4333333333334"/>
    <n v="89277"/>
    <n v="2974"/>
    <n v="2975.9"/>
    <m/>
    <m/>
    <m/>
    <m/>
    <m/>
    <m/>
    <m/>
    <m/>
    <n v="0"/>
    <m/>
    <n v="0"/>
    <n v="0"/>
    <m/>
    <n v="0"/>
    <m/>
    <m/>
    <m/>
    <m/>
    <m/>
    <m/>
    <m/>
    <m/>
    <n v="0"/>
    <n v="0"/>
    <n v="0"/>
    <n v="0"/>
    <n v="2741.4333333333334"/>
    <n v="2975.9"/>
  </r>
  <r>
    <x v="12"/>
    <s v="Nashville State Technical Community College"/>
    <n v="221184"/>
    <x v="7"/>
    <s v="sem"/>
    <s v="sem"/>
    <m/>
    <m/>
    <n v="57902"/>
    <n v="57887"/>
    <n v="15166"/>
    <n v="17138"/>
    <n v="60939"/>
    <n v="64723"/>
    <n v="134007"/>
    <n v="2094"/>
    <n v="4466.8999999999996"/>
    <n v="139748"/>
    <n v="3651"/>
    <n v="4658.2666666666664"/>
    <m/>
    <m/>
    <m/>
    <m/>
    <m/>
    <m/>
    <m/>
    <m/>
    <n v="0"/>
    <m/>
    <n v="0"/>
    <n v="0"/>
    <m/>
    <n v="0"/>
    <m/>
    <m/>
    <m/>
    <m/>
    <m/>
    <m/>
    <m/>
    <m/>
    <n v="0"/>
    <n v="0"/>
    <n v="0"/>
    <n v="0"/>
    <n v="4466.8999999999996"/>
    <n v="4658.2666666666664"/>
  </r>
  <r>
    <x v="12"/>
    <s v="Northeast State Technical Community College"/>
    <n v="221908"/>
    <x v="7"/>
    <s v="sem"/>
    <s v="sem"/>
    <m/>
    <m/>
    <n v="45987"/>
    <n v="46909"/>
    <n v="10136"/>
    <n v="10318"/>
    <n v="50798"/>
    <n v="54086"/>
    <n v="106921"/>
    <n v="1420"/>
    <n v="3564.0333333333333"/>
    <n v="111313"/>
    <n v="2391"/>
    <n v="3710.4333333333334"/>
    <m/>
    <m/>
    <m/>
    <m/>
    <m/>
    <m/>
    <m/>
    <m/>
    <n v="0"/>
    <m/>
    <n v="0"/>
    <n v="0"/>
    <m/>
    <n v="0"/>
    <m/>
    <m/>
    <m/>
    <m/>
    <m/>
    <m/>
    <m/>
    <m/>
    <n v="0"/>
    <n v="0"/>
    <n v="0"/>
    <n v="0"/>
    <n v="3564.0333333333333"/>
    <n v="3710.4333333333334"/>
  </r>
  <r>
    <x v="12"/>
    <s v="Roane State Community College "/>
    <n v="221397"/>
    <x v="7"/>
    <s v="sem"/>
    <s v="sem"/>
    <m/>
    <m/>
    <n v="49107"/>
    <n v="50491"/>
    <n v="7002"/>
    <n v="6892"/>
    <n v="56454"/>
    <n v="56492"/>
    <n v="112563"/>
    <n v="3099"/>
    <n v="3752.1"/>
    <n v="113875"/>
    <n v="4113"/>
    <n v="3795.8333333333335"/>
    <m/>
    <m/>
    <m/>
    <m/>
    <m/>
    <m/>
    <m/>
    <m/>
    <n v="0"/>
    <m/>
    <n v="0"/>
    <n v="0"/>
    <m/>
    <n v="0"/>
    <m/>
    <m/>
    <m/>
    <m/>
    <m/>
    <m/>
    <m/>
    <m/>
    <n v="0"/>
    <n v="0"/>
    <n v="0"/>
    <n v="0"/>
    <n v="3752.1"/>
    <n v="3795.8333333333335"/>
  </r>
  <r>
    <x v="12"/>
    <s v="Volunteer State Community College "/>
    <n v="222053"/>
    <x v="7"/>
    <s v="sem"/>
    <s v="sem"/>
    <m/>
    <m/>
    <n v="60594"/>
    <n v="59251"/>
    <n v="15752"/>
    <n v="15518"/>
    <n v="66401"/>
    <n v="68735"/>
    <n v="142747"/>
    <n v="8980"/>
    <n v="4758.2333333333336"/>
    <n v="143504"/>
    <n v="8757"/>
    <n v="4783.4666666666662"/>
    <m/>
    <m/>
    <m/>
    <m/>
    <m/>
    <m/>
    <m/>
    <m/>
    <n v="0"/>
    <m/>
    <n v="0"/>
    <n v="0"/>
    <m/>
    <n v="0"/>
    <m/>
    <m/>
    <m/>
    <m/>
    <m/>
    <m/>
    <m/>
    <m/>
    <n v="0"/>
    <n v="0"/>
    <n v="0"/>
    <n v="0"/>
    <n v="4758.2333333333336"/>
    <n v="4783.4666666666662"/>
  </r>
  <r>
    <x v="12"/>
    <s v="Walters State Community College "/>
    <n v="222062"/>
    <x v="7"/>
    <s v="sem"/>
    <s v="sem"/>
    <m/>
    <m/>
    <n v="51004"/>
    <n v="52942"/>
    <n v="10489"/>
    <n v="10613"/>
    <n v="58262"/>
    <n v="61230"/>
    <n v="119755"/>
    <n v="5511"/>
    <n v="3991.8333333333335"/>
    <n v="124785"/>
    <n v="6394"/>
    <n v="4159.5"/>
    <m/>
    <m/>
    <m/>
    <m/>
    <m/>
    <s v=" "/>
    <m/>
    <m/>
    <n v="0"/>
    <m/>
    <n v="0"/>
    <n v="0"/>
    <m/>
    <n v="0"/>
    <m/>
    <m/>
    <m/>
    <m/>
    <m/>
    <m/>
    <m/>
    <m/>
    <n v="0"/>
    <n v="0"/>
    <n v="0"/>
    <n v="0"/>
    <n v="3991.8333333333335"/>
    <n v="4159.5"/>
  </r>
  <r>
    <x v="12"/>
    <s v="Dyersburg State Community College "/>
    <n v="220057"/>
    <x v="8"/>
    <s v="sem"/>
    <s v="sem"/>
    <m/>
    <m/>
    <n v="23047"/>
    <n v="22096"/>
    <n v="3303"/>
    <n v="3333"/>
    <n v="25026"/>
    <n v="26113"/>
    <n v="51376"/>
    <n v="2361"/>
    <n v="1712.5333333333333"/>
    <n v="51542"/>
    <n v="3629"/>
    <n v="1718.0666666666666"/>
    <m/>
    <m/>
    <m/>
    <m/>
    <m/>
    <m/>
    <m/>
    <m/>
    <n v="0"/>
    <m/>
    <n v="0"/>
    <n v="0"/>
    <m/>
    <n v="0"/>
    <m/>
    <m/>
    <m/>
    <m/>
    <m/>
    <m/>
    <m/>
    <m/>
    <n v="0"/>
    <n v="0"/>
    <n v="0"/>
    <n v="0"/>
    <n v="1712.5333333333333"/>
    <n v="1718.0666666666666"/>
  </r>
  <r>
    <x v="12"/>
    <s v="Tennessee Technology Center at Athens"/>
    <n v="219596"/>
    <x v="10"/>
    <s v="sem"/>
    <s v="sem"/>
    <m/>
    <m/>
    <m/>
    <m/>
    <m/>
    <m/>
    <m/>
    <m/>
    <n v="0"/>
    <m/>
    <n v="0"/>
    <n v="0"/>
    <m/>
    <n v="0"/>
    <m/>
    <m/>
    <n v="66332"/>
    <n v="85116"/>
    <n v="61686"/>
    <n v="84080"/>
    <n v="82642"/>
    <n v="85132"/>
    <n v="210660"/>
    <m/>
    <n v="234.06666666666666"/>
    <n v="254328"/>
    <m/>
    <n v="282.58666666666664"/>
    <m/>
    <m/>
    <m/>
    <m/>
    <m/>
    <m/>
    <m/>
    <m/>
    <n v="0"/>
    <n v="0"/>
    <n v="0"/>
    <n v="0"/>
    <n v="234.06666666666666"/>
    <n v="282.58666666666664"/>
  </r>
  <r>
    <x v="12"/>
    <s v="Tennessee Technology Center at Chattanooga"/>
    <s v="219824B"/>
    <x v="10"/>
    <s v="sem"/>
    <s v="sem"/>
    <m/>
    <m/>
    <m/>
    <m/>
    <m/>
    <m/>
    <m/>
    <m/>
    <n v="0"/>
    <m/>
    <n v="0"/>
    <n v="0"/>
    <m/>
    <n v="0"/>
    <m/>
    <m/>
    <n v="246642"/>
    <n v="282622"/>
    <n v="157762"/>
    <n v="183284"/>
    <n v="290041"/>
    <n v="330503"/>
    <n v="694445"/>
    <m/>
    <n v="771.60555555555561"/>
    <n v="796409"/>
    <m/>
    <n v="884.89888888888891"/>
    <m/>
    <m/>
    <m/>
    <m/>
    <m/>
    <m/>
    <m/>
    <m/>
    <n v="0"/>
    <n v="0"/>
    <n v="0"/>
    <n v="0"/>
    <n v="771.60555555555561"/>
    <n v="884.89888888888891"/>
  </r>
  <r>
    <x v="12"/>
    <s v="Tennessee Technology Center at Covington"/>
    <n v="219921"/>
    <x v="10"/>
    <s v="sem"/>
    <s v="sem"/>
    <m/>
    <m/>
    <m/>
    <m/>
    <m/>
    <m/>
    <m/>
    <m/>
    <n v="0"/>
    <m/>
    <n v="0"/>
    <n v="0"/>
    <m/>
    <n v="0"/>
    <m/>
    <m/>
    <n v="43960"/>
    <n v="50201"/>
    <n v="32070"/>
    <n v="45434"/>
    <n v="51296"/>
    <n v="65644"/>
    <n v="127326"/>
    <m/>
    <n v="141.47333333333333"/>
    <n v="161279"/>
    <m/>
    <n v="179.19888888888889"/>
    <m/>
    <m/>
    <m/>
    <m/>
    <m/>
    <m/>
    <m/>
    <m/>
    <n v="0"/>
    <n v="0"/>
    <n v="0"/>
    <n v="0"/>
    <n v="141.47333333333333"/>
    <n v="179.19888888888889"/>
  </r>
  <r>
    <x v="12"/>
    <s v="Tennessee Technology Center at Crossville"/>
    <n v="221591"/>
    <x v="10"/>
    <s v="sem"/>
    <s v="sem"/>
    <m/>
    <m/>
    <m/>
    <m/>
    <m/>
    <m/>
    <m/>
    <m/>
    <n v="0"/>
    <m/>
    <n v="0"/>
    <n v="0"/>
    <m/>
    <n v="0"/>
    <m/>
    <m/>
    <n v="108841"/>
    <n v="107793"/>
    <n v="78103"/>
    <n v="95938"/>
    <n v="113575"/>
    <n v="131254"/>
    <n v="300519"/>
    <m/>
    <n v="333.91"/>
    <n v="334985"/>
    <m/>
    <n v="372.20555555555558"/>
    <m/>
    <m/>
    <m/>
    <m/>
    <m/>
    <m/>
    <m/>
    <m/>
    <n v="0"/>
    <n v="0"/>
    <n v="0"/>
    <n v="0"/>
    <n v="333.91"/>
    <n v="372.20555555555558"/>
  </r>
  <r>
    <x v="12"/>
    <s v="Tennessee Technology Center at Crump"/>
    <n v="221430"/>
    <x v="10"/>
    <s v="sem"/>
    <s v="sem"/>
    <m/>
    <m/>
    <m/>
    <m/>
    <m/>
    <m/>
    <m/>
    <m/>
    <n v="0"/>
    <m/>
    <n v="0"/>
    <n v="0"/>
    <m/>
    <n v="0"/>
    <m/>
    <m/>
    <n v="79403"/>
    <n v="77807"/>
    <n v="68152"/>
    <n v="70438"/>
    <n v="80436"/>
    <n v="84087"/>
    <n v="227991"/>
    <m/>
    <n v="253.32333333333332"/>
    <n v="232332"/>
    <m/>
    <n v="258.14666666666665"/>
    <m/>
    <m/>
    <m/>
    <m/>
    <m/>
    <m/>
    <m/>
    <m/>
    <n v="0"/>
    <n v="0"/>
    <n v="0"/>
    <n v="0"/>
    <n v="253.32333333333332"/>
    <n v="258.14666666666665"/>
  </r>
  <r>
    <x v="12"/>
    <s v="Tennessee Technology Center at Dickson"/>
    <n v="219994"/>
    <x v="10"/>
    <s v="sem"/>
    <s v="sem"/>
    <m/>
    <m/>
    <m/>
    <m/>
    <m/>
    <m/>
    <m/>
    <m/>
    <n v="0"/>
    <m/>
    <n v="0"/>
    <n v="0"/>
    <m/>
    <n v="0"/>
    <m/>
    <m/>
    <n v="139714"/>
    <n v="145228"/>
    <n v="130374"/>
    <n v="143510"/>
    <n v="155102"/>
    <n v="166274"/>
    <n v="425190"/>
    <m/>
    <n v="472.43333333333334"/>
    <n v="455012"/>
    <m/>
    <n v="505.56888888888886"/>
    <m/>
    <m/>
    <m/>
    <m/>
    <m/>
    <m/>
    <m/>
    <m/>
    <n v="0"/>
    <n v="0"/>
    <n v="0"/>
    <n v="0"/>
    <n v="472.43333333333334"/>
    <n v="505.56888888888886"/>
  </r>
  <r>
    <x v="12"/>
    <s v="Tennessee Technology Center at Elizabethton"/>
    <n v="220127"/>
    <x v="10"/>
    <s v="sem"/>
    <s v="sem"/>
    <m/>
    <m/>
    <m/>
    <m/>
    <m/>
    <m/>
    <m/>
    <m/>
    <n v="0"/>
    <m/>
    <n v="0"/>
    <n v="0"/>
    <m/>
    <n v="0"/>
    <m/>
    <m/>
    <n v="147241"/>
    <n v="162439"/>
    <n v="139113"/>
    <n v="153363"/>
    <n v="150913"/>
    <n v="154189"/>
    <n v="437267"/>
    <m/>
    <n v="485.85222222222222"/>
    <n v="469991"/>
    <m/>
    <n v="522.21222222222218"/>
    <m/>
    <m/>
    <m/>
    <m/>
    <m/>
    <m/>
    <m/>
    <m/>
    <n v="0"/>
    <n v="0"/>
    <n v="0"/>
    <n v="0"/>
    <n v="485.85222222222222"/>
    <n v="522.21222222222218"/>
  </r>
  <r>
    <x v="12"/>
    <s v="Tennessee Technology Center at Harriman"/>
    <n v="220251"/>
    <x v="10"/>
    <s v="sem"/>
    <s v="sem"/>
    <m/>
    <m/>
    <m/>
    <m/>
    <m/>
    <m/>
    <m/>
    <m/>
    <n v="0"/>
    <m/>
    <n v="0"/>
    <n v="0"/>
    <m/>
    <n v="0"/>
    <m/>
    <m/>
    <n v="60712"/>
    <n v="63627"/>
    <n v="56890"/>
    <n v="67253"/>
    <n v="70730"/>
    <n v="93494"/>
    <n v="188332"/>
    <m/>
    <n v="209.25777777777779"/>
    <n v="224374"/>
    <m/>
    <n v="249.30444444444444"/>
    <m/>
    <m/>
    <m/>
    <m/>
    <m/>
    <m/>
    <m/>
    <m/>
    <n v="0"/>
    <n v="0"/>
    <n v="0"/>
    <n v="0"/>
    <n v="209.25777777777779"/>
    <n v="249.30444444444444"/>
  </r>
  <r>
    <x v="12"/>
    <s v="Tennessee Technology Center at Hartsville"/>
    <n v="220279"/>
    <x v="10"/>
    <s v="sem"/>
    <s v="sem"/>
    <m/>
    <m/>
    <m/>
    <m/>
    <m/>
    <m/>
    <m/>
    <m/>
    <n v="0"/>
    <m/>
    <n v="0"/>
    <n v="0"/>
    <m/>
    <n v="0"/>
    <m/>
    <m/>
    <n v="69301"/>
    <n v="72841"/>
    <n v="60735"/>
    <n v="75756"/>
    <n v="75233"/>
    <n v="119218"/>
    <n v="205269"/>
    <m/>
    <n v="228.07666666666665"/>
    <n v="267815"/>
    <m/>
    <n v="297.57222222222219"/>
    <m/>
    <m/>
    <m/>
    <m/>
    <m/>
    <m/>
    <m/>
    <m/>
    <n v="0"/>
    <n v="0"/>
    <n v="0"/>
    <n v="0"/>
    <n v="228.07666666666665"/>
    <n v="297.57222222222219"/>
  </r>
  <r>
    <x v="12"/>
    <s v="Tennessee Technology Center at Hohenwald"/>
    <n v="220321"/>
    <x v="10"/>
    <s v="sem"/>
    <s v="sem"/>
    <m/>
    <m/>
    <m/>
    <m/>
    <m/>
    <m/>
    <m/>
    <m/>
    <n v="0"/>
    <m/>
    <n v="0"/>
    <n v="0"/>
    <m/>
    <n v="0"/>
    <m/>
    <m/>
    <n v="128578"/>
    <n v="138721"/>
    <n v="102471"/>
    <n v="110226"/>
    <n v="138796"/>
    <n v="129947"/>
    <n v="369845"/>
    <m/>
    <n v="410.93888888888887"/>
    <n v="378894"/>
    <m/>
    <n v="420.99333333333334"/>
    <m/>
    <m/>
    <m/>
    <m/>
    <m/>
    <m/>
    <m/>
    <m/>
    <n v="0"/>
    <n v="0"/>
    <n v="0"/>
    <n v="0"/>
    <n v="410.93888888888887"/>
    <n v="420.99333333333334"/>
  </r>
  <r>
    <x v="12"/>
    <s v="Tennessee Technology Center at Jacksboro"/>
    <n v="220394"/>
    <x v="10"/>
    <s v="sem"/>
    <s v="sem"/>
    <m/>
    <m/>
    <m/>
    <m/>
    <m/>
    <m/>
    <m/>
    <m/>
    <n v="0"/>
    <m/>
    <n v="0"/>
    <n v="0"/>
    <m/>
    <n v="0"/>
    <m/>
    <m/>
    <n v="47466"/>
    <n v="50201"/>
    <n v="45720"/>
    <n v="44667"/>
    <n v="53421"/>
    <n v="63073"/>
    <n v="146607"/>
    <m/>
    <n v="162.89666666666668"/>
    <n v="157941"/>
    <m/>
    <n v="175.49"/>
    <m/>
    <m/>
    <m/>
    <m/>
    <m/>
    <m/>
    <m/>
    <m/>
    <n v="0"/>
    <n v="0"/>
    <n v="0"/>
    <n v="0"/>
    <n v="162.89666666666668"/>
    <n v="175.49"/>
  </r>
  <r>
    <x v="12"/>
    <s v="Tennessee Technology Center at Jackson"/>
    <n v="221616"/>
    <x v="10"/>
    <s v="sem"/>
    <s v="sem"/>
    <m/>
    <m/>
    <m/>
    <m/>
    <m/>
    <m/>
    <m/>
    <m/>
    <n v="0"/>
    <m/>
    <n v="0"/>
    <n v="0"/>
    <m/>
    <n v="0"/>
    <m/>
    <m/>
    <n v="156268"/>
    <n v="172479"/>
    <n v="153135"/>
    <n v="171979"/>
    <n v="175305"/>
    <n v="187537"/>
    <n v="484708"/>
    <m/>
    <n v="538.56444444444446"/>
    <n v="531995"/>
    <m/>
    <n v="591.10555555555561"/>
    <m/>
    <m/>
    <m/>
    <m/>
    <m/>
    <m/>
    <m/>
    <m/>
    <n v="0"/>
    <n v="0"/>
    <n v="0"/>
    <n v="0"/>
    <n v="538.56444444444446"/>
    <n v="591.10555555555561"/>
  </r>
  <r>
    <x v="12"/>
    <s v="Tennessee Technology Center at Knoxville"/>
    <n v="221625"/>
    <x v="10"/>
    <s v="sem"/>
    <s v="sem"/>
    <m/>
    <m/>
    <m/>
    <m/>
    <m/>
    <m/>
    <m/>
    <m/>
    <n v="0"/>
    <m/>
    <n v="0"/>
    <n v="0"/>
    <m/>
    <n v="0"/>
    <m/>
    <m/>
    <n v="149669"/>
    <n v="186513"/>
    <n v="149598"/>
    <n v="192756"/>
    <n v="187554"/>
    <n v="218637"/>
    <n v="486821"/>
    <m/>
    <n v="540.91222222222223"/>
    <n v="597906"/>
    <m/>
    <n v="664.34"/>
    <m/>
    <m/>
    <m/>
    <m/>
    <m/>
    <m/>
    <m/>
    <m/>
    <n v="0"/>
    <n v="0"/>
    <n v="0"/>
    <n v="0"/>
    <n v="540.91222222222223"/>
    <n v="664.34"/>
  </r>
  <r>
    <x v="12"/>
    <s v="Tennessee Technology Center at Livingston"/>
    <n v="220640"/>
    <x v="10"/>
    <s v="sem"/>
    <s v="sem"/>
    <m/>
    <m/>
    <m/>
    <m/>
    <m/>
    <m/>
    <m/>
    <m/>
    <n v="0"/>
    <m/>
    <n v="0"/>
    <n v="0"/>
    <m/>
    <n v="0"/>
    <m/>
    <m/>
    <n v="121582"/>
    <n v="150732"/>
    <n v="112702"/>
    <n v="124841"/>
    <n v="160376"/>
    <n v="149280"/>
    <n v="394660"/>
    <m/>
    <n v="438.51111111111112"/>
    <n v="424853"/>
    <m/>
    <n v="472.05888888888887"/>
    <m/>
    <m/>
    <m/>
    <m/>
    <m/>
    <m/>
    <m/>
    <m/>
    <n v="0"/>
    <n v="0"/>
    <n v="0"/>
    <n v="0"/>
    <n v="438.51111111111112"/>
    <n v="472.05888888888887"/>
  </r>
  <r>
    <x v="12"/>
    <s v="Tennessee Technology Center at McKenzie"/>
    <n v="220756"/>
    <x v="10"/>
    <s v="sem"/>
    <s v="sem"/>
    <m/>
    <m/>
    <m/>
    <m/>
    <m/>
    <m/>
    <m/>
    <m/>
    <n v="0"/>
    <m/>
    <n v="0"/>
    <n v="0"/>
    <m/>
    <n v="0"/>
    <m/>
    <m/>
    <n v="80333"/>
    <n v="85650"/>
    <n v="71973"/>
    <n v="74290"/>
    <n v="88098"/>
    <n v="95402"/>
    <n v="240404"/>
    <m/>
    <n v="267.11555555555555"/>
    <n v="255342"/>
    <m/>
    <n v="283.71333333333331"/>
    <m/>
    <m/>
    <m/>
    <m/>
    <m/>
    <m/>
    <m/>
    <m/>
    <n v="0"/>
    <n v="0"/>
    <n v="0"/>
    <n v="0"/>
    <n v="267.11555555555555"/>
    <n v="283.71333333333331"/>
  </r>
  <r>
    <x v="12"/>
    <s v="Tennessee Technology Center at McMinnville"/>
    <n v="221607"/>
    <x v="10"/>
    <s v="sem"/>
    <s v="sem"/>
    <m/>
    <m/>
    <m/>
    <m/>
    <m/>
    <m/>
    <m/>
    <m/>
    <n v="0"/>
    <m/>
    <n v="0"/>
    <n v="0"/>
    <m/>
    <n v="0"/>
    <m/>
    <m/>
    <n v="88251"/>
    <n v="72144"/>
    <n v="85528"/>
    <n v="71465"/>
    <n v="74584"/>
    <n v="88486"/>
    <n v="248363"/>
    <m/>
    <n v="275.95888888888891"/>
    <n v="232095"/>
    <m/>
    <n v="257.88333333333333"/>
    <m/>
    <m/>
    <m/>
    <m/>
    <m/>
    <m/>
    <m/>
    <m/>
    <n v="0"/>
    <n v="0"/>
    <n v="0"/>
    <n v="0"/>
    <n v="275.95888888888891"/>
    <n v="257.88333333333333"/>
  </r>
  <r>
    <x v="12"/>
    <s v="Tennessee Technology Center at Memphis"/>
    <n v="220853"/>
    <x v="10"/>
    <s v="sem"/>
    <s v="sem"/>
    <m/>
    <m/>
    <m/>
    <m/>
    <m/>
    <m/>
    <m/>
    <m/>
    <n v="0"/>
    <m/>
    <n v="0"/>
    <n v="0"/>
    <m/>
    <n v="0"/>
    <m/>
    <m/>
    <n v="261510"/>
    <n v="256106"/>
    <n v="239366"/>
    <n v="227890"/>
    <n v="271940"/>
    <n v="244138"/>
    <n v="772816"/>
    <m/>
    <n v="858.68444444444447"/>
    <n v="728134"/>
    <m/>
    <n v="809.03777777777782"/>
    <m/>
    <m/>
    <m/>
    <m/>
    <m/>
    <m/>
    <m/>
    <m/>
    <n v="0"/>
    <n v="0"/>
    <n v="0"/>
    <n v="0"/>
    <n v="858.68444444444447"/>
    <n v="809.03777777777782"/>
  </r>
  <r>
    <x v="12"/>
    <s v="Tennessee Technology Center at Morristown"/>
    <n v="221050"/>
    <x v="10"/>
    <s v="sem"/>
    <s v="sem"/>
    <m/>
    <m/>
    <m/>
    <m/>
    <m/>
    <m/>
    <m/>
    <m/>
    <n v="0"/>
    <m/>
    <n v="0"/>
    <n v="0"/>
    <m/>
    <n v="0"/>
    <m/>
    <m/>
    <n v="191455"/>
    <n v="180931"/>
    <n v="181404"/>
    <n v="173966"/>
    <n v="186495"/>
    <n v="197528"/>
    <n v="559354"/>
    <m/>
    <n v="621.5044444444444"/>
    <n v="552425"/>
    <m/>
    <n v="613.80555555555554"/>
    <m/>
    <m/>
    <m/>
    <m/>
    <m/>
    <m/>
    <m/>
    <m/>
    <n v="0"/>
    <n v="0"/>
    <n v="0"/>
    <n v="0"/>
    <n v="621.5044444444444"/>
    <n v="613.80555555555554"/>
  </r>
  <r>
    <x v="12"/>
    <s v="Tennessee Technology Center at Murfreesboro"/>
    <n v="221102"/>
    <x v="10"/>
    <s v="sem"/>
    <s v="sem"/>
    <m/>
    <m/>
    <m/>
    <m/>
    <m/>
    <m/>
    <m/>
    <m/>
    <n v="0"/>
    <m/>
    <n v="0"/>
    <n v="0"/>
    <m/>
    <n v="0"/>
    <m/>
    <m/>
    <n v="128851"/>
    <n v="130806"/>
    <n v="110515"/>
    <n v="132996"/>
    <n v="132772"/>
    <n v="137140"/>
    <n v="372138"/>
    <m/>
    <n v="413.48666666666668"/>
    <n v="400942"/>
    <m/>
    <n v="445.49111111111114"/>
    <m/>
    <m/>
    <m/>
    <m/>
    <m/>
    <m/>
    <m/>
    <m/>
    <n v="0"/>
    <n v="0"/>
    <n v="0"/>
    <n v="0"/>
    <n v="413.48666666666668"/>
    <n v="445.49111111111114"/>
  </r>
  <r>
    <x v="12"/>
    <s v="Tennessee Technology Center at Nashville"/>
    <n v="248925"/>
    <x v="10"/>
    <s v="sem"/>
    <s v="sem"/>
    <m/>
    <m/>
    <m/>
    <m/>
    <m/>
    <m/>
    <m/>
    <m/>
    <n v="0"/>
    <m/>
    <n v="0"/>
    <n v="0"/>
    <m/>
    <n v="0"/>
    <m/>
    <m/>
    <n v="199923"/>
    <n v="223707"/>
    <n v="173025"/>
    <n v="196070"/>
    <n v="201841"/>
    <n v="221870"/>
    <n v="574789"/>
    <m/>
    <n v="638.65444444444449"/>
    <n v="641647"/>
    <m/>
    <n v="712.94111111111113"/>
    <m/>
    <m/>
    <m/>
    <m/>
    <m/>
    <m/>
    <m/>
    <m/>
    <n v="0"/>
    <n v="0"/>
    <n v="0"/>
    <n v="0"/>
    <n v="638.65444444444449"/>
    <n v="712.94111111111113"/>
  </r>
  <r>
    <x v="12"/>
    <s v="Tennessee Technology Center at Newbern"/>
    <n v="221236"/>
    <x v="10"/>
    <s v="sem"/>
    <s v="sem"/>
    <m/>
    <m/>
    <m/>
    <m/>
    <m/>
    <m/>
    <m/>
    <m/>
    <n v="0"/>
    <m/>
    <n v="0"/>
    <n v="0"/>
    <m/>
    <n v="0"/>
    <m/>
    <m/>
    <n v="61928"/>
    <n v="64564"/>
    <n v="49861"/>
    <n v="52782"/>
    <n v="76985"/>
    <n v="84404"/>
    <n v="188774"/>
    <m/>
    <n v="209.7488888888889"/>
    <n v="201750"/>
    <m/>
    <n v="224.16666666666666"/>
    <m/>
    <m/>
    <m/>
    <m/>
    <m/>
    <m/>
    <m/>
    <m/>
    <n v="0"/>
    <n v="0"/>
    <n v="0"/>
    <n v="0"/>
    <n v="209.7488888888889"/>
    <n v="224.16666666666666"/>
  </r>
  <r>
    <x v="12"/>
    <s v="Tennessee Technology Center at Oneida"/>
    <n v="221582"/>
    <x v="10"/>
    <s v="sem"/>
    <s v="sem"/>
    <m/>
    <m/>
    <m/>
    <m/>
    <m/>
    <m/>
    <m/>
    <m/>
    <n v="0"/>
    <m/>
    <n v="0"/>
    <n v="0"/>
    <m/>
    <n v="0"/>
    <m/>
    <m/>
    <n v="79586"/>
    <n v="85794"/>
    <n v="56003"/>
    <n v="56031"/>
    <n v="98425"/>
    <n v="97416"/>
    <n v="234014"/>
    <m/>
    <n v="260.01555555555558"/>
    <n v="239241"/>
    <m/>
    <n v="265.82333333333332"/>
    <m/>
    <m/>
    <m/>
    <m/>
    <m/>
    <m/>
    <m/>
    <m/>
    <n v="0"/>
    <n v="0"/>
    <n v="0"/>
    <n v="0"/>
    <n v="260.01555555555558"/>
    <n v="265.82333333333332"/>
  </r>
  <r>
    <x v="12"/>
    <s v="Tennessee Technology Center at Paris"/>
    <n v="221281"/>
    <x v="10"/>
    <s v="sem"/>
    <s v="sem"/>
    <m/>
    <m/>
    <m/>
    <m/>
    <m/>
    <m/>
    <m/>
    <m/>
    <n v="0"/>
    <m/>
    <n v="0"/>
    <n v="0"/>
    <m/>
    <n v="0"/>
    <m/>
    <m/>
    <n v="115295"/>
    <n v="106589"/>
    <n v="93214"/>
    <n v="106050"/>
    <n v="117778"/>
    <n v="119050"/>
    <n v="326287"/>
    <m/>
    <n v="362.54111111111109"/>
    <n v="331689"/>
    <m/>
    <n v="368.54333333333335"/>
    <m/>
    <m/>
    <m/>
    <m/>
    <m/>
    <m/>
    <m/>
    <m/>
    <n v="0"/>
    <n v="0"/>
    <n v="0"/>
    <n v="0"/>
    <n v="362.54111111111109"/>
    <n v="368.54333333333335"/>
  </r>
  <r>
    <x v="12"/>
    <s v="Tennessee Technology Center at Pulaski"/>
    <n v="221333"/>
    <x v="10"/>
    <s v="sem"/>
    <s v="sem"/>
    <m/>
    <m/>
    <m/>
    <m/>
    <m/>
    <m/>
    <m/>
    <m/>
    <n v="0"/>
    <m/>
    <n v="0"/>
    <n v="0"/>
    <m/>
    <n v="0"/>
    <m/>
    <m/>
    <n v="109297"/>
    <n v="96821"/>
    <n v="69436"/>
    <n v="64269"/>
    <n v="96698"/>
    <n v="108692"/>
    <n v="275431"/>
    <m/>
    <n v="306.03444444444443"/>
    <n v="269782"/>
    <m/>
    <n v="299.75777777777779"/>
    <m/>
    <m/>
    <m/>
    <m/>
    <m/>
    <m/>
    <m/>
    <m/>
    <n v="0"/>
    <n v="0"/>
    <n v="0"/>
    <n v="0"/>
    <n v="306.03444444444443"/>
    <n v="299.75777777777779"/>
  </r>
  <r>
    <x v="12"/>
    <s v="Tennessee Technology Center at Ripley"/>
    <n v="221388"/>
    <x v="10"/>
    <s v="sem"/>
    <s v="sem"/>
    <m/>
    <m/>
    <m/>
    <m/>
    <m/>
    <m/>
    <m/>
    <m/>
    <n v="0"/>
    <m/>
    <n v="0"/>
    <n v="0"/>
    <m/>
    <n v="0"/>
    <m/>
    <m/>
    <n v="58757"/>
    <n v="46566"/>
    <n v="46780"/>
    <n v="51498"/>
    <n v="44238"/>
    <n v="61821"/>
    <n v="149775"/>
    <m/>
    <n v="166.41666666666666"/>
    <n v="159885"/>
    <m/>
    <n v="177.65"/>
    <m/>
    <m/>
    <m/>
    <m/>
    <m/>
    <m/>
    <m/>
    <m/>
    <n v="0"/>
    <n v="0"/>
    <n v="0"/>
    <n v="0"/>
    <n v="166.41666666666666"/>
    <n v="177.65"/>
  </r>
  <r>
    <x v="12"/>
    <s v="Tennessee Technology Center at Shelbyville"/>
    <n v="221494"/>
    <x v="10"/>
    <s v="sem"/>
    <s v="sem"/>
    <m/>
    <m/>
    <m/>
    <m/>
    <m/>
    <m/>
    <m/>
    <m/>
    <n v="0"/>
    <m/>
    <n v="0"/>
    <n v="0"/>
    <m/>
    <n v="0"/>
    <m/>
    <m/>
    <n v="148199"/>
    <n v="152767"/>
    <n v="137411"/>
    <n v="139757"/>
    <n v="169204"/>
    <n v="172706"/>
    <n v="454814"/>
    <m/>
    <n v="505.34888888888889"/>
    <n v="465230"/>
    <m/>
    <n v="516.92222222222222"/>
    <m/>
    <m/>
    <m/>
    <m/>
    <m/>
    <m/>
    <m/>
    <m/>
    <n v="0"/>
    <n v="0"/>
    <n v="0"/>
    <n v="0"/>
    <n v="505.34888888888889"/>
    <n v="516.92222222222222"/>
  </r>
  <r>
    <x v="12"/>
    <s v="Tennessee Technology Center at Whiteville"/>
    <n v="221634"/>
    <x v="10"/>
    <s v="sem"/>
    <s v="sem"/>
    <m/>
    <m/>
    <m/>
    <m/>
    <m/>
    <m/>
    <m/>
    <m/>
    <n v="0"/>
    <m/>
    <n v="0"/>
    <n v="0"/>
    <m/>
    <n v="0"/>
    <m/>
    <m/>
    <n v="53071"/>
    <n v="53107"/>
    <n v="46455"/>
    <n v="53371"/>
    <n v="58662"/>
    <n v="60776"/>
    <n v="158188"/>
    <m/>
    <n v="175.76444444444445"/>
    <n v="167254"/>
    <m/>
    <n v="185.83777777777777"/>
    <m/>
    <m/>
    <m/>
    <m/>
    <m/>
    <m/>
    <m/>
    <m/>
    <n v="0"/>
    <n v="0"/>
    <n v="0"/>
    <n v="0"/>
    <n v="175.76444444444445"/>
    <n v="185.83777777777777"/>
  </r>
  <r>
    <x v="13"/>
    <s v="Texas A &amp; M University "/>
    <n v="228723"/>
    <x v="0"/>
    <s v="sem"/>
    <s v="sem"/>
    <m/>
    <m/>
    <n v="451055"/>
    <n v="465351"/>
    <n v="75237"/>
    <n v="80477"/>
    <n v="501331"/>
    <n v="512032"/>
    <n v="1027623"/>
    <n v="0"/>
    <n v="34254.1"/>
    <n v="1057860"/>
    <n v="0"/>
    <n v="35262"/>
    <m/>
    <m/>
    <m/>
    <m/>
    <m/>
    <m/>
    <m/>
    <m/>
    <n v="0"/>
    <m/>
    <n v="0"/>
    <n v="0"/>
    <m/>
    <n v="0"/>
    <m/>
    <m/>
    <n v="63211"/>
    <n v="65539"/>
    <n v="25662"/>
    <n v="27780"/>
    <n v="70830"/>
    <n v="74606"/>
    <n v="159703"/>
    <n v="6654.291666666667"/>
    <n v="167925"/>
    <n v="6996.875"/>
    <n v="40908.391666666663"/>
    <n v="42258.875"/>
  </r>
  <r>
    <x v="13"/>
    <s v="Texas Tech University "/>
    <n v="229115"/>
    <x v="0"/>
    <s v="sem"/>
    <s v="sem"/>
    <m/>
    <m/>
    <n v="280878"/>
    <n v="282456"/>
    <n v="55732"/>
    <n v="54233"/>
    <n v="313056"/>
    <n v="313686"/>
    <n v="649666"/>
    <n v="0"/>
    <n v="21655.533333333333"/>
    <n v="650375"/>
    <n v="0"/>
    <n v="21679.166666666668"/>
    <m/>
    <m/>
    <m/>
    <m/>
    <m/>
    <m/>
    <m/>
    <m/>
    <n v="0"/>
    <m/>
    <n v="0"/>
    <n v="0"/>
    <m/>
    <n v="0"/>
    <m/>
    <m/>
    <n v="42528"/>
    <n v="42758"/>
    <n v="17927"/>
    <n v="18097"/>
    <n v="44560"/>
    <n v="44925"/>
    <n v="105015"/>
    <n v="4375.625"/>
    <n v="105780"/>
    <n v="4407.5"/>
    <n v="26031.158333333333"/>
    <n v="26086.666666666668"/>
  </r>
  <r>
    <x v="13"/>
    <s v="University of Houston"/>
    <n v="225511"/>
    <x v="0"/>
    <s v="sem"/>
    <s v="sem"/>
    <m/>
    <m/>
    <n v="293884"/>
    <n v="297732"/>
    <n v="54954"/>
    <n v="57700"/>
    <n v="319708"/>
    <n v="334757"/>
    <n v="668546"/>
    <n v="19"/>
    <n v="22284.866666666665"/>
    <n v="690189"/>
    <n v="0"/>
    <n v="23006.3"/>
    <m/>
    <m/>
    <m/>
    <m/>
    <m/>
    <m/>
    <m/>
    <m/>
    <n v="0"/>
    <m/>
    <n v="0"/>
    <n v="0"/>
    <m/>
    <n v="0"/>
    <m/>
    <m/>
    <n v="65474"/>
    <n v="67386"/>
    <n v="21503"/>
    <n v="22111"/>
    <n v="69929"/>
    <n v="72150"/>
    <n v="156906"/>
    <n v="6537.75"/>
    <n v="161647"/>
    <n v="6735.291666666667"/>
    <n v="28822.616666666665"/>
    <n v="29741.591666666667"/>
  </r>
  <r>
    <x v="13"/>
    <s v="University of North Texas"/>
    <n v="227216"/>
    <x v="0"/>
    <s v="sem"/>
    <s v="sem"/>
    <m/>
    <m/>
    <n v="302844"/>
    <n v="314042"/>
    <n v="74041"/>
    <n v="79447"/>
    <n v="341594"/>
    <n v="342564"/>
    <n v="718479"/>
    <n v="0"/>
    <n v="23949.3"/>
    <n v="736053"/>
    <n v="0"/>
    <n v="24535.1"/>
    <m/>
    <m/>
    <m/>
    <m/>
    <m/>
    <m/>
    <m/>
    <m/>
    <n v="0"/>
    <m/>
    <n v="0"/>
    <n v="0"/>
    <m/>
    <n v="0"/>
    <m/>
    <m/>
    <n v="38679"/>
    <n v="38702"/>
    <n v="21076"/>
    <n v="22566"/>
    <n v="40693"/>
    <n v="40571"/>
    <n v="100448"/>
    <n v="4185.333333333333"/>
    <n v="101839"/>
    <n v="4243.291666666667"/>
    <n v="28134.633333333331"/>
    <n v="28778.391666666666"/>
  </r>
  <r>
    <x v="13"/>
    <s v="University of Texas at Arlington"/>
    <n v="228769"/>
    <x v="0"/>
    <s v="sem"/>
    <s v="sem"/>
    <m/>
    <m/>
    <n v="204498"/>
    <n v="205112"/>
    <n v="47358"/>
    <n v="45710"/>
    <n v="218447"/>
    <n v="214709"/>
    <n v="470303"/>
    <n v="163"/>
    <n v="15676.766666666666"/>
    <n v="465531"/>
    <n v="453"/>
    <n v="15517.7"/>
    <m/>
    <m/>
    <m/>
    <m/>
    <m/>
    <m/>
    <m/>
    <m/>
    <n v="0"/>
    <m/>
    <n v="0"/>
    <n v="0"/>
    <m/>
    <n v="0"/>
    <m/>
    <m/>
    <n v="35478"/>
    <n v="38545"/>
    <n v="18168"/>
    <n v="18796"/>
    <n v="39198"/>
    <n v="39839"/>
    <n v="92844"/>
    <n v="3868.5"/>
    <n v="97180"/>
    <n v="4049.1666666666665"/>
    <n v="19545.266666666666"/>
    <n v="19566.866666666669"/>
  </r>
  <r>
    <x v="13"/>
    <s v="University of Texas at Austin"/>
    <n v="228778"/>
    <x v="0"/>
    <s v="sem"/>
    <s v="sem"/>
    <m/>
    <m/>
    <n v="456046"/>
    <n v="465690"/>
    <n v="65849"/>
    <n v="61765"/>
    <n v="497047"/>
    <n v="496145"/>
    <n v="1018942"/>
    <n v="0"/>
    <n v="33964.73333333333"/>
    <n v="1023600"/>
    <n v="0"/>
    <n v="34120"/>
    <m/>
    <m/>
    <m/>
    <m/>
    <m/>
    <m/>
    <m/>
    <m/>
    <n v="0"/>
    <m/>
    <n v="0"/>
    <n v="0"/>
    <m/>
    <n v="0"/>
    <m/>
    <m/>
    <n v="118533"/>
    <n v="117247"/>
    <n v="25698"/>
    <n v="24552"/>
    <n v="120662"/>
    <n v="120238"/>
    <n v="264893"/>
    <n v="11037.208333333334"/>
    <n v="262037"/>
    <n v="10918.208333333334"/>
    <n v="45001.941666666666"/>
    <n v="45038.208333333336"/>
  </r>
  <r>
    <x v="13"/>
    <s v="University of Texas at Dallas"/>
    <n v="228787"/>
    <x v="0"/>
    <s v="sem"/>
    <s v="sem"/>
    <m/>
    <m/>
    <n v="104575"/>
    <n v="105552"/>
    <n v="21713"/>
    <n v="21315"/>
    <n v="113554"/>
    <n v="116180"/>
    <n v="239842"/>
    <n v="0"/>
    <n v="7994.7333333333336"/>
    <n v="243047"/>
    <n v="0"/>
    <n v="8101.5666666666666"/>
    <m/>
    <m/>
    <m/>
    <m/>
    <m/>
    <m/>
    <m/>
    <m/>
    <n v="0"/>
    <m/>
    <n v="0"/>
    <n v="0"/>
    <m/>
    <n v="0"/>
    <m/>
    <m/>
    <n v="34476"/>
    <n v="36150"/>
    <n v="16864"/>
    <n v="20520"/>
    <n v="35379"/>
    <n v="38504"/>
    <n v="86719"/>
    <n v="3613.2916666666665"/>
    <n v="95174"/>
    <n v="3965.5833333333335"/>
    <n v="11608.025"/>
    <n v="12067.15"/>
  </r>
  <r>
    <x v="13"/>
    <s v="Texas Woman's University"/>
    <n v="229179"/>
    <x v="1"/>
    <s v="sem"/>
    <s v="sem"/>
    <m/>
    <m/>
    <n v="76172"/>
    <n v="79120"/>
    <n v="21559"/>
    <n v="22449"/>
    <n v="84322"/>
    <n v="87711"/>
    <n v="182053"/>
    <n v="0"/>
    <n v="6068.4333333333334"/>
    <n v="189280"/>
    <n v="0"/>
    <n v="6309.333333333333"/>
    <m/>
    <m/>
    <m/>
    <m/>
    <m/>
    <m/>
    <m/>
    <m/>
    <n v="0"/>
    <m/>
    <n v="0"/>
    <n v="0"/>
    <m/>
    <n v="0"/>
    <m/>
    <m/>
    <n v="31832"/>
    <n v="32800"/>
    <n v="22787"/>
    <n v="22240"/>
    <n v="33443"/>
    <n v="32386"/>
    <n v="88062"/>
    <n v="3669.25"/>
    <n v="87426"/>
    <n v="3642.75"/>
    <n v="9737.6833333333343"/>
    <n v="9952.0833333333321"/>
  </r>
  <r>
    <x v="13"/>
    <s v="University of Texas at El Paso"/>
    <n v="228796"/>
    <x v="1"/>
    <s v="sem"/>
    <s v="sem"/>
    <m/>
    <m/>
    <n v="174485"/>
    <n v="174503"/>
    <n v="36813"/>
    <n v="44261"/>
    <n v="188519"/>
    <n v="188224"/>
    <n v="399817"/>
    <n v="1021"/>
    <n v="13327.233333333334"/>
    <n v="406988"/>
    <n v="977"/>
    <n v="13566.266666666666"/>
    <m/>
    <m/>
    <m/>
    <m/>
    <m/>
    <m/>
    <m/>
    <m/>
    <n v="0"/>
    <m/>
    <n v="0"/>
    <n v="0"/>
    <m/>
    <n v="0"/>
    <m/>
    <m/>
    <n v="19486"/>
    <n v="19890"/>
    <n v="8174"/>
    <n v="9775"/>
    <n v="19713"/>
    <n v="20718"/>
    <n v="47373"/>
    <n v="1973.875"/>
    <n v="50383"/>
    <n v="2099.2916666666665"/>
    <n v="15301.108333333334"/>
    <n v="15665.558333333332"/>
  </r>
  <r>
    <x v="13"/>
    <s v="Angelo State University"/>
    <n v="222831"/>
    <x v="2"/>
    <s v="sem"/>
    <s v="sem"/>
    <m/>
    <m/>
    <n v="64651"/>
    <n v="63873"/>
    <n v="12595"/>
    <n v="11619"/>
    <n v="73535"/>
    <n v="70945"/>
    <n v="150781"/>
    <n v="240"/>
    <n v="5026.0333333333338"/>
    <n v="146437"/>
    <n v="393"/>
    <n v="4881.2333333333336"/>
    <m/>
    <m/>
    <m/>
    <m/>
    <m/>
    <m/>
    <m/>
    <m/>
    <n v="0"/>
    <m/>
    <n v="0"/>
    <n v="0"/>
    <m/>
    <n v="0"/>
    <m/>
    <m/>
    <n v="3574"/>
    <n v="3582"/>
    <n v="1917"/>
    <n v="2654"/>
    <n v="2641"/>
    <n v="3327"/>
    <n v="8132"/>
    <n v="338.83333333333331"/>
    <n v="9563"/>
    <n v="398.45833333333331"/>
    <n v="5364.8666666666668"/>
    <n v="5279.6916666666666"/>
  </r>
  <r>
    <x v="13"/>
    <s v="Lamar University"/>
    <n v="226091"/>
    <x v="2"/>
    <s v="sem"/>
    <s v="sem"/>
    <m/>
    <m/>
    <n v="92058"/>
    <n v="90740"/>
    <n v="25287"/>
    <n v="23487"/>
    <n v="100493"/>
    <n v="100092"/>
    <n v="217838"/>
    <n v="2734"/>
    <n v="7261.2666666666664"/>
    <n v="214319"/>
    <n v="1609"/>
    <n v="7143.9666666666662"/>
    <m/>
    <m/>
    <m/>
    <m/>
    <m/>
    <m/>
    <m/>
    <m/>
    <n v="0"/>
    <m/>
    <n v="0"/>
    <n v="0"/>
    <m/>
    <n v="0"/>
    <m/>
    <m/>
    <n v="9015"/>
    <n v="15575"/>
    <n v="5352"/>
    <n v="35533"/>
    <n v="11237"/>
    <n v="27244"/>
    <n v="25604"/>
    <n v="1066.8333333333333"/>
    <n v="78352"/>
    <n v="3264.6666666666665"/>
    <n v="8328.1"/>
    <n v="10408.633333333333"/>
  </r>
  <r>
    <x v="13"/>
    <s v="Midwestern State University  "/>
    <n v="226833"/>
    <x v="2"/>
    <s v="sem"/>
    <s v="sem"/>
    <m/>
    <m/>
    <n v="58409"/>
    <n v="58291"/>
    <n v="15944"/>
    <n v="14393"/>
    <n v="62570"/>
    <n v="61415"/>
    <n v="136923"/>
    <n v="129"/>
    <n v="4564.1000000000004"/>
    <n v="134099"/>
    <n v="128"/>
    <n v="4469.9666666666662"/>
    <m/>
    <m/>
    <m/>
    <m/>
    <m/>
    <m/>
    <m/>
    <m/>
    <n v="0"/>
    <m/>
    <n v="0"/>
    <n v="0"/>
    <m/>
    <n v="0"/>
    <m/>
    <m/>
    <n v="3430"/>
    <n v="3267"/>
    <n v="2052"/>
    <n v="2317"/>
    <n v="3258"/>
    <n v="3395"/>
    <n v="8740"/>
    <n v="364.16666666666669"/>
    <n v="8979"/>
    <n v="374.125"/>
    <n v="4928.2666666666673"/>
    <n v="4844.0916666666662"/>
  </r>
  <r>
    <x v="13"/>
    <s v="Prairie View A &amp; M University"/>
    <n v="227526"/>
    <x v="2"/>
    <s v="sem"/>
    <s v="sem"/>
    <m/>
    <m/>
    <n v="73106"/>
    <n v="76109"/>
    <n v="11128"/>
    <n v="11671"/>
    <n v="82313"/>
    <n v="82896"/>
    <n v="166547"/>
    <n v="0"/>
    <n v="5551.5666666666666"/>
    <n v="170676"/>
    <n v="0"/>
    <n v="5689.2"/>
    <m/>
    <m/>
    <m/>
    <m/>
    <m/>
    <m/>
    <m/>
    <m/>
    <n v="0"/>
    <m/>
    <n v="0"/>
    <n v="0"/>
    <m/>
    <n v="0"/>
    <m/>
    <m/>
    <n v="16411"/>
    <n v="16339"/>
    <n v="8297"/>
    <n v="7970"/>
    <n v="15912"/>
    <n v="13087"/>
    <n v="40620"/>
    <n v="1692.5"/>
    <n v="37396"/>
    <n v="1558.1666666666667"/>
    <n v="7244.0666666666666"/>
    <n v="7247.3666666666668"/>
  </r>
  <r>
    <x v="13"/>
    <s v="Sam Houston State University "/>
    <n v="227881"/>
    <x v="2"/>
    <s v="sem"/>
    <s v="sem"/>
    <m/>
    <m/>
    <n v="169316"/>
    <n v="171858"/>
    <n v="39351"/>
    <n v="39347"/>
    <n v="184907"/>
    <n v="186925"/>
    <n v="393574"/>
    <n v="120"/>
    <n v="13119.133333333333"/>
    <n v="398130"/>
    <n v="0"/>
    <n v="13271"/>
    <m/>
    <m/>
    <m/>
    <m/>
    <m/>
    <m/>
    <m/>
    <m/>
    <n v="0"/>
    <m/>
    <n v="0"/>
    <n v="0"/>
    <m/>
    <n v="0"/>
    <m/>
    <m/>
    <n v="12158"/>
    <n v="12965"/>
    <n v="11609"/>
    <n v="11410"/>
    <n v="13422"/>
    <n v="13803"/>
    <n v="37189"/>
    <n v="1549.5416666666667"/>
    <n v="38178"/>
    <n v="1590.75"/>
    <n v="14668.674999999999"/>
    <n v="14861.75"/>
  </r>
  <r>
    <x v="13"/>
    <s v="Stephen F. Austin State University"/>
    <n v="228431"/>
    <x v="2"/>
    <s v="sem"/>
    <s v="sem"/>
    <m/>
    <m/>
    <n v="122042"/>
    <n v="118694"/>
    <n v="30827"/>
    <n v="31178"/>
    <n v="131756"/>
    <n v="134092"/>
    <n v="284625"/>
    <n v="1165"/>
    <n v="9487.5"/>
    <n v="283964"/>
    <n v="1124"/>
    <n v="9465.4666666666672"/>
    <m/>
    <m/>
    <m/>
    <m/>
    <m/>
    <m/>
    <m/>
    <m/>
    <n v="0"/>
    <m/>
    <n v="0"/>
    <n v="0"/>
    <m/>
    <n v="0"/>
    <m/>
    <m/>
    <n v="9237"/>
    <n v="9867"/>
    <n v="7019"/>
    <n v="7055"/>
    <n v="9202"/>
    <n v="10034"/>
    <n v="25458"/>
    <n v="1060.75"/>
    <n v="26956"/>
    <n v="1123.1666666666667"/>
    <n v="10548.25"/>
    <n v="10588.633333333333"/>
  </r>
  <r>
    <x v="13"/>
    <s v="Sul Ross State University "/>
    <n v="228501"/>
    <x v="2"/>
    <s v="sem"/>
    <s v="sem"/>
    <m/>
    <m/>
    <n v="16206"/>
    <n v="13952"/>
    <n v="3619"/>
    <n v="3585"/>
    <n v="15558"/>
    <n v="16465"/>
    <n v="35383"/>
    <n v="123"/>
    <n v="1179.4333333333334"/>
    <n v="34002"/>
    <n v="256"/>
    <n v="1133.4000000000001"/>
    <m/>
    <m/>
    <m/>
    <m/>
    <m/>
    <m/>
    <m/>
    <m/>
    <n v="0"/>
    <m/>
    <n v="0"/>
    <n v="0"/>
    <m/>
    <n v="0"/>
    <m/>
    <m/>
    <n v="2721"/>
    <n v="2874"/>
    <n v="2627"/>
    <n v="2990"/>
    <n v="2562"/>
    <n v="2747"/>
    <n v="7910"/>
    <n v="329.58333333333331"/>
    <n v="8611"/>
    <n v="358.79166666666669"/>
    <n v="1509.0166666666667"/>
    <n v="1492.1916666666668"/>
  </r>
  <r>
    <x v="13"/>
    <s v="Tarleton State University  "/>
    <n v="228529"/>
    <x v="2"/>
    <s v="sem"/>
    <s v="sem"/>
    <m/>
    <m/>
    <n v="86775"/>
    <n v="86705"/>
    <n v="24670"/>
    <n v="23694"/>
    <n v="94244"/>
    <n v="92339"/>
    <n v="205689"/>
    <n v="242"/>
    <n v="6856.3"/>
    <n v="202738"/>
    <n v="211"/>
    <n v="6757.9333333333334"/>
    <m/>
    <m/>
    <m/>
    <m/>
    <m/>
    <m/>
    <m/>
    <m/>
    <n v="0"/>
    <m/>
    <n v="0"/>
    <n v="0"/>
    <m/>
    <n v="0"/>
    <m/>
    <m/>
    <n v="8870"/>
    <n v="9277"/>
    <n v="9285"/>
    <n v="9321"/>
    <n v="9047"/>
    <n v="9532"/>
    <n v="27202"/>
    <n v="1133.4166666666667"/>
    <n v="28130"/>
    <n v="1172.0833333333333"/>
    <n v="7989.7166666666672"/>
    <n v="7930.0166666666664"/>
  </r>
  <r>
    <x v="13"/>
    <s v="Texas A &amp; M University-Commerce"/>
    <n v="224554"/>
    <x v="2"/>
    <s v="sem"/>
    <s v="sem"/>
    <m/>
    <m/>
    <n v="61029"/>
    <n v="53877"/>
    <n v="14742"/>
    <n v="16398"/>
    <n v="62487"/>
    <n v="59701"/>
    <n v="138258"/>
    <n v="466"/>
    <n v="4608.6000000000004"/>
    <n v="129976"/>
    <n v="176"/>
    <n v="4332.5333333333338"/>
    <m/>
    <m/>
    <m/>
    <m/>
    <m/>
    <m/>
    <m/>
    <m/>
    <n v="0"/>
    <m/>
    <n v="0"/>
    <n v="0"/>
    <m/>
    <n v="0"/>
    <m/>
    <m/>
    <n v="22056"/>
    <n v="20309"/>
    <n v="15716"/>
    <n v="19304"/>
    <n v="20997"/>
    <n v="22425"/>
    <n v="58769"/>
    <n v="2448.7083333333335"/>
    <n v="62038"/>
    <n v="2584.9166666666665"/>
    <n v="7057.3083333333343"/>
    <n v="6917.4500000000007"/>
  </r>
  <r>
    <x v="13"/>
    <s v="Texas A &amp; M University-Corpus Christi "/>
    <n v="224147"/>
    <x v="2"/>
    <s v="sem"/>
    <s v="sem"/>
    <m/>
    <m/>
    <n v="79798"/>
    <n v="74951"/>
    <n v="26349"/>
    <n v="23383"/>
    <n v="83987"/>
    <n v="89351"/>
    <n v="190134"/>
    <n v="0"/>
    <n v="6337.8"/>
    <n v="187685"/>
    <n v="900"/>
    <n v="6256.166666666667"/>
    <m/>
    <m/>
    <m/>
    <m/>
    <m/>
    <m/>
    <m/>
    <m/>
    <n v="0"/>
    <m/>
    <n v="0"/>
    <n v="0"/>
    <m/>
    <n v="0"/>
    <m/>
    <m/>
    <n v="9590"/>
    <n v="7877"/>
    <n v="6522"/>
    <n v="7347"/>
    <n v="9504"/>
    <n v="10249"/>
    <n v="25616"/>
    <n v="1067.3333333333333"/>
    <n v="25473"/>
    <n v="1061.375"/>
    <n v="7405.1333333333332"/>
    <n v="7317.541666666667"/>
  </r>
  <r>
    <x v="13"/>
    <s v="Texas A &amp; M University-Kingsville"/>
    <n v="228705"/>
    <x v="2"/>
    <s v="sem"/>
    <s v="sem"/>
    <m/>
    <m/>
    <n v="54521"/>
    <n v="55409"/>
    <n v="15707"/>
    <n v="15614"/>
    <n v="58224"/>
    <n v="64697"/>
    <n v="128452"/>
    <n v="0"/>
    <n v="4281.7333333333336"/>
    <n v="135720"/>
    <n v="0"/>
    <n v="4524"/>
    <m/>
    <m/>
    <m/>
    <m/>
    <m/>
    <m/>
    <m/>
    <m/>
    <n v="0"/>
    <m/>
    <n v="0"/>
    <n v="0"/>
    <m/>
    <n v="0"/>
    <m/>
    <m/>
    <n v="10813"/>
    <n v="10664"/>
    <n v="8104"/>
    <n v="7208"/>
    <n v="10781"/>
    <n v="11072"/>
    <n v="29698"/>
    <n v="1237.4166666666667"/>
    <n v="28944"/>
    <n v="1206"/>
    <n v="5519.1500000000005"/>
    <n v="5730"/>
  </r>
  <r>
    <x v="13"/>
    <s v="Texas Southern University "/>
    <n v="229063"/>
    <x v="2"/>
    <s v="sem"/>
    <s v="sem"/>
    <m/>
    <m/>
    <n v="97734"/>
    <n v="82479"/>
    <n v="9376"/>
    <n v="11464"/>
    <n v="91002"/>
    <n v="86820"/>
    <n v="198112"/>
    <n v="0"/>
    <n v="6603.7333333333336"/>
    <n v="180763"/>
    <n v="0"/>
    <n v="6025.4333333333334"/>
    <m/>
    <m/>
    <m/>
    <m/>
    <m/>
    <m/>
    <m/>
    <m/>
    <n v="0"/>
    <m/>
    <n v="0"/>
    <n v="0"/>
    <m/>
    <n v="0"/>
    <m/>
    <m/>
    <n v="21282"/>
    <n v="19946"/>
    <n v="4497"/>
    <n v="4264"/>
    <n v="20716"/>
    <n v="19883"/>
    <n v="46495"/>
    <n v="1937.2916666666667"/>
    <n v="44093"/>
    <n v="1837.2083333333333"/>
    <n v="8541.0249999999996"/>
    <n v="7862.6416666666664"/>
  </r>
  <r>
    <x v="13"/>
    <s v="Texas State University - San Marcos "/>
    <n v="228459"/>
    <x v="2"/>
    <s v="sem"/>
    <s v="sem"/>
    <m/>
    <m/>
    <n v="277580"/>
    <n v="281890"/>
    <n v="66372"/>
    <n v="67091"/>
    <n v="305424"/>
    <n v="312589"/>
    <n v="649376"/>
    <n v="11"/>
    <n v="21645.866666666665"/>
    <n v="661570"/>
    <n v="3"/>
    <n v="22052.333333333332"/>
    <m/>
    <m/>
    <m/>
    <m/>
    <m/>
    <m/>
    <m/>
    <m/>
    <n v="0"/>
    <m/>
    <n v="0"/>
    <n v="0"/>
    <m/>
    <n v="0"/>
    <m/>
    <m/>
    <n v="23579"/>
    <n v="24723"/>
    <n v="13079"/>
    <n v="13210"/>
    <n v="26088"/>
    <n v="27884"/>
    <n v="62746"/>
    <n v="2614.4166666666665"/>
    <n v="65817"/>
    <n v="2742.375"/>
    <n v="24260.283333333333"/>
    <n v="24794.708333333332"/>
  </r>
  <r>
    <x v="13"/>
    <s v="University of Houston-Clear Lake "/>
    <n v="225414"/>
    <x v="2"/>
    <s v="sem"/>
    <s v="sem"/>
    <m/>
    <m/>
    <n v="40319"/>
    <n v="39132"/>
    <n v="12709"/>
    <n v="13018"/>
    <n v="39693"/>
    <n v="40872"/>
    <n v="92721"/>
    <n v="0"/>
    <n v="3090.7"/>
    <n v="93022"/>
    <n v="0"/>
    <n v="3100.7333333333331"/>
    <m/>
    <m/>
    <m/>
    <m/>
    <m/>
    <m/>
    <m/>
    <m/>
    <n v="0"/>
    <m/>
    <n v="0"/>
    <n v="0"/>
    <m/>
    <n v="0"/>
    <m/>
    <m/>
    <n v="22009"/>
    <n v="21607"/>
    <n v="10649"/>
    <n v="10961"/>
    <n v="21263"/>
    <n v="22301"/>
    <n v="53921"/>
    <n v="2246.7083333333335"/>
    <n v="54869"/>
    <n v="2286.2083333333335"/>
    <n v="5337.4083333333328"/>
    <n v="5386.9416666666666"/>
  </r>
  <r>
    <x v="13"/>
    <s v="University of Texas at San Antonio"/>
    <n v="229027"/>
    <x v="2"/>
    <s v="sem"/>
    <s v="sem"/>
    <m/>
    <m/>
    <n v="259509"/>
    <n v="262253"/>
    <n v="52082"/>
    <n v="53739"/>
    <n v="288193"/>
    <n v="290973"/>
    <n v="599784"/>
    <n v="4875"/>
    <n v="19992.8"/>
    <n v="606965"/>
    <n v="4911"/>
    <n v="20232.166666666668"/>
    <m/>
    <m/>
    <m/>
    <m/>
    <m/>
    <m/>
    <m/>
    <m/>
    <n v="0"/>
    <m/>
    <n v="0"/>
    <n v="0"/>
    <m/>
    <n v="0"/>
    <m/>
    <m/>
    <n v="22746"/>
    <n v="21678"/>
    <n v="9499"/>
    <n v="8291"/>
    <n v="22599"/>
    <n v="22839"/>
    <n v="54844"/>
    <n v="2285.1666666666665"/>
    <n v="52808"/>
    <n v="2200.3333333333335"/>
    <n v="22277.966666666667"/>
    <n v="22432.5"/>
  </r>
  <r>
    <x v="13"/>
    <s v="University of Texas at Tyler"/>
    <n v="228802"/>
    <x v="2"/>
    <s v="sem"/>
    <s v="sem"/>
    <m/>
    <m/>
    <n v="57009"/>
    <n v="58962"/>
    <n v="8097"/>
    <n v="8235"/>
    <n v="63527"/>
    <n v="62715"/>
    <n v="128633"/>
    <n v="0"/>
    <n v="4287.7666666666664"/>
    <n v="129912"/>
    <n v="0"/>
    <n v="4330.3999999999996"/>
    <m/>
    <m/>
    <m/>
    <m/>
    <m/>
    <m/>
    <m/>
    <m/>
    <n v="0"/>
    <m/>
    <n v="0"/>
    <n v="0"/>
    <m/>
    <n v="0"/>
    <m/>
    <m/>
    <n v="4987"/>
    <n v="5378"/>
    <n v="2721"/>
    <n v="2592"/>
    <n v="5230"/>
    <n v="5325"/>
    <n v="12938"/>
    <n v="539.08333333333337"/>
    <n v="13295"/>
    <n v="553.95833333333337"/>
    <n v="4826.8499999999995"/>
    <n v="4884.3583333333327"/>
  </r>
  <r>
    <x v="13"/>
    <s v="University of Texas-Pan American"/>
    <n v="227368"/>
    <x v="2"/>
    <s v="sem"/>
    <s v="sem"/>
    <m/>
    <m/>
    <n v="162889"/>
    <n v="165673"/>
    <n v="66838"/>
    <n v="64108"/>
    <n v="179479"/>
    <n v="178269"/>
    <n v="409206"/>
    <n v="716"/>
    <n v="13640.2"/>
    <n v="408050"/>
    <n v="1243"/>
    <n v="13601.666666666666"/>
    <m/>
    <m/>
    <m/>
    <m/>
    <m/>
    <m/>
    <m/>
    <m/>
    <n v="0"/>
    <m/>
    <n v="0"/>
    <n v="0"/>
    <m/>
    <n v="0"/>
    <m/>
    <m/>
    <n v="13901"/>
    <n v="13500"/>
    <n v="7337"/>
    <n v="8186"/>
    <n v="14124"/>
    <n v="14753"/>
    <n v="35362"/>
    <n v="1473.4166666666667"/>
    <n v="36439"/>
    <n v="1518.2916666666667"/>
    <n v="15113.616666666667"/>
    <n v="15119.958333333332"/>
  </r>
  <r>
    <x v="13"/>
    <s v="West Texas A &amp; M University"/>
    <n v="229814"/>
    <x v="2"/>
    <s v="sem"/>
    <s v="sem"/>
    <m/>
    <m/>
    <n v="66882"/>
    <n v="66314"/>
    <n v="15480"/>
    <n v="14575"/>
    <n v="73049"/>
    <n v="76044"/>
    <n v="155411"/>
    <n v="0"/>
    <n v="5180.3666666666668"/>
    <n v="156933"/>
    <n v="0"/>
    <n v="5231.1000000000004"/>
    <m/>
    <m/>
    <m/>
    <m/>
    <m/>
    <m/>
    <m/>
    <m/>
    <n v="0"/>
    <m/>
    <n v="0"/>
    <n v="0"/>
    <m/>
    <n v="0"/>
    <m/>
    <m/>
    <n v="8230"/>
    <n v="7929"/>
    <n v="5775"/>
    <n v="5339"/>
    <n v="8529"/>
    <n v="7086"/>
    <n v="22534"/>
    <n v="938.91666666666663"/>
    <n v="20354"/>
    <n v="848.08333333333337"/>
    <n v="6119.2833333333338"/>
    <n v="6079.1833333333334"/>
  </r>
  <r>
    <x v="13"/>
    <s v="Texas A &amp; M -Texarkana"/>
    <n v="224545"/>
    <x v="3"/>
    <s v="sem"/>
    <s v="sem"/>
    <m/>
    <m/>
    <n v="9741"/>
    <n v="9954"/>
    <n v="3363"/>
    <n v="3270"/>
    <n v="9344"/>
    <n v="9655"/>
    <n v="22448"/>
    <n v="15"/>
    <n v="748.26666666666665"/>
    <n v="22879"/>
    <n v="30"/>
    <n v="762.63333333333333"/>
    <m/>
    <m/>
    <m/>
    <m/>
    <m/>
    <m/>
    <m/>
    <m/>
    <n v="0"/>
    <m/>
    <n v="0"/>
    <n v="0"/>
    <m/>
    <n v="0"/>
    <m/>
    <m/>
    <n v="3270"/>
    <n v="3344"/>
    <n v="2811"/>
    <n v="3348"/>
    <n v="3012"/>
    <n v="2567"/>
    <n v="9093"/>
    <n v="378.875"/>
    <n v="9259"/>
    <n v="385.79166666666669"/>
    <n v="1127.1416666666667"/>
    <n v="1148.425"/>
  </r>
  <r>
    <x v="13"/>
    <s v="Texas A&amp;M International University"/>
    <n v="226152"/>
    <x v="3"/>
    <s v="sem"/>
    <s v="sem"/>
    <m/>
    <m/>
    <n v="40230"/>
    <n v="43790"/>
    <n v="13861"/>
    <n v="14421"/>
    <n v="45859"/>
    <n v="51429"/>
    <n v="99950"/>
    <n v="2365"/>
    <n v="3331.6666666666665"/>
    <n v="109640"/>
    <n v="4970"/>
    <n v="3654.6666666666665"/>
    <m/>
    <m/>
    <m/>
    <m/>
    <m/>
    <m/>
    <m/>
    <m/>
    <n v="0"/>
    <m/>
    <n v="0"/>
    <n v="0"/>
    <m/>
    <n v="0"/>
    <m/>
    <m/>
    <n v="5534"/>
    <n v="5669"/>
    <n v="3580"/>
    <n v="4013"/>
    <n v="5845"/>
    <n v="5792"/>
    <n v="14959"/>
    <n v="623.29166666666663"/>
    <n v="15474"/>
    <n v="644.75"/>
    <n v="3954.958333333333"/>
    <n v="4299.4166666666661"/>
  </r>
  <r>
    <x v="13"/>
    <s v="University of Texas at Brownsville"/>
    <n v="227377"/>
    <x v="3"/>
    <s v="sem"/>
    <s v="sem"/>
    <m/>
    <m/>
    <n v="28648"/>
    <n v="32439"/>
    <n v="10945"/>
    <n v="11934"/>
    <n v="36184"/>
    <n v="42786"/>
    <n v="75777"/>
    <n v="5855"/>
    <n v="2525.9"/>
    <n v="87159"/>
    <n v="8030"/>
    <n v="2905.3"/>
    <m/>
    <m/>
    <m/>
    <m/>
    <m/>
    <m/>
    <m/>
    <m/>
    <n v="0"/>
    <m/>
    <n v="0"/>
    <n v="0"/>
    <m/>
    <n v="0"/>
    <m/>
    <m/>
    <n v="3762"/>
    <n v="3922"/>
    <n v="2110"/>
    <n v="2589"/>
    <n v="4214"/>
    <n v="4252"/>
    <n v="10086"/>
    <n v="420.25"/>
    <n v="10763"/>
    <n v="448.45833333333331"/>
    <n v="2946.15"/>
    <n v="3353.7583333333337"/>
  </r>
  <r>
    <x v="13"/>
    <s v="University of Texas of the Permian Basin"/>
    <n v="229018"/>
    <x v="3"/>
    <s v="sem"/>
    <s v="sem"/>
    <m/>
    <m/>
    <n v="29958"/>
    <n v="30336"/>
    <n v="5982"/>
    <n v="7182"/>
    <n v="33328"/>
    <n v="30782"/>
    <n v="69268"/>
    <n v="0"/>
    <n v="2308.9333333333334"/>
    <n v="68300"/>
    <n v="74"/>
    <n v="2276.6666666666665"/>
    <m/>
    <m/>
    <m/>
    <m/>
    <m/>
    <m/>
    <m/>
    <m/>
    <n v="0"/>
    <m/>
    <n v="0"/>
    <n v="0"/>
    <m/>
    <n v="0"/>
    <m/>
    <m/>
    <n v="3392"/>
    <n v="3234"/>
    <n v="1633"/>
    <n v="2376"/>
    <n v="3408"/>
    <n v="4137"/>
    <n v="8433"/>
    <n v="351.375"/>
    <n v="9747"/>
    <n v="406.125"/>
    <n v="2660.3083333333334"/>
    <n v="2682.7916666666665"/>
  </r>
  <r>
    <x v="13"/>
    <s v="Sul Ross State University-Rio Grande College"/>
    <s v="228501B"/>
    <x v="4"/>
    <s v="sem"/>
    <s v="sem"/>
    <m/>
    <m/>
    <n v="6630"/>
    <n v="6054"/>
    <n v="3708"/>
    <n v="3546"/>
    <n v="6057"/>
    <n v="6116"/>
    <n v="16395"/>
    <n v="0"/>
    <n v="546.5"/>
    <n v="15716"/>
    <n v="0"/>
    <n v="523.86666666666667"/>
    <m/>
    <m/>
    <m/>
    <m/>
    <m/>
    <m/>
    <m/>
    <m/>
    <n v="0"/>
    <m/>
    <n v="0"/>
    <n v="0"/>
    <m/>
    <n v="0"/>
    <m/>
    <m/>
    <n v="1143"/>
    <n v="1035"/>
    <n v="930"/>
    <n v="870"/>
    <n v="999"/>
    <n v="1002"/>
    <n v="3072"/>
    <n v="128"/>
    <n v="2907"/>
    <n v="121.125"/>
    <n v="674.5"/>
    <n v="644.99166666666667"/>
  </r>
  <r>
    <x v="13"/>
    <s v="University of Houston-Downtown"/>
    <n v="225432"/>
    <x v="4"/>
    <s v="sem"/>
    <s v="sem"/>
    <m/>
    <m/>
    <n v="103522"/>
    <n v="108428"/>
    <n v="29515"/>
    <n v="31783"/>
    <n v="113613"/>
    <n v="114984"/>
    <n v="246650"/>
    <n v="42"/>
    <n v="8221.6666666666661"/>
    <n v="255195"/>
    <n v="147"/>
    <n v="8506.5"/>
    <m/>
    <m/>
    <m/>
    <m/>
    <m/>
    <m/>
    <m/>
    <m/>
    <n v="0"/>
    <m/>
    <n v="0"/>
    <n v="0"/>
    <m/>
    <n v="0"/>
    <m/>
    <m/>
    <n v="630"/>
    <n v="798"/>
    <n v="336"/>
    <n v="402"/>
    <n v="696"/>
    <n v="843"/>
    <n v="1662"/>
    <n v="69.25"/>
    <n v="2043"/>
    <n v="85.125"/>
    <n v="8290.9166666666661"/>
    <n v="8591.625"/>
  </r>
  <r>
    <x v="13"/>
    <s v="University of Houston-Victoria"/>
    <n v="225502"/>
    <x v="4"/>
    <s v="sem"/>
    <s v="sem"/>
    <m/>
    <m/>
    <n v="12267"/>
    <n v="13297"/>
    <n v="5968"/>
    <n v="6672"/>
    <n v="12786"/>
    <n v="14927"/>
    <n v="31021"/>
    <n v="0"/>
    <n v="1034.0333333333333"/>
    <n v="34896"/>
    <n v="0"/>
    <n v="1163.2"/>
    <m/>
    <m/>
    <m/>
    <m/>
    <m/>
    <m/>
    <m/>
    <m/>
    <n v="0"/>
    <m/>
    <n v="0"/>
    <n v="0"/>
    <m/>
    <n v="0"/>
    <m/>
    <m/>
    <n v="7383"/>
    <n v="8080"/>
    <n v="5052"/>
    <n v="5641"/>
    <n v="7778"/>
    <n v="8820"/>
    <n v="20213"/>
    <n v="842.20833333333337"/>
    <n v="22541"/>
    <n v="939.20833333333337"/>
    <n v="1876.2416666666668"/>
    <n v="2102.4083333333333"/>
  </r>
  <r>
    <x v="13"/>
    <s v="Texas A &amp; M University at Galveston"/>
    <n v="228714"/>
    <x v="5"/>
    <s v="sem"/>
    <s v="sem"/>
    <m/>
    <m/>
    <n v="19468"/>
    <n v="19567"/>
    <n v="3562"/>
    <n v="3580"/>
    <n v="21802"/>
    <n v="21334"/>
    <n v="44832"/>
    <n v="0"/>
    <n v="1494.4"/>
    <n v="44481"/>
    <n v="0"/>
    <n v="1482.7"/>
    <m/>
    <m/>
    <m/>
    <m/>
    <m/>
    <m/>
    <m/>
    <m/>
    <n v="0"/>
    <m/>
    <n v="0"/>
    <n v="0"/>
    <m/>
    <n v="0"/>
    <m/>
    <m/>
    <n v="214"/>
    <n v="294"/>
    <n v="115"/>
    <n v="201"/>
    <n v="275"/>
    <n v="329"/>
    <n v="604"/>
    <n v="25.166666666666668"/>
    <n v="824"/>
    <n v="34.333333333333336"/>
    <n v="1519.5666666666668"/>
    <n v="1517.0333333333333"/>
  </r>
  <r>
    <x v="13"/>
    <s v="Amarillo College "/>
    <n v="222576"/>
    <x v="6"/>
    <s v="sem"/>
    <s v="sem"/>
    <n v="78792"/>
    <n v="76133"/>
    <n v="20259"/>
    <n v="21146"/>
    <m/>
    <n v="0"/>
    <n v="81389"/>
    <n v="79391"/>
    <n v="180440"/>
    <n v="19009"/>
    <n v="6014.666666666667"/>
    <n v="176670"/>
    <n v="20047"/>
    <n v="5889"/>
    <n v="154819"/>
    <n v="150338"/>
    <n v="129199"/>
    <n v="157428"/>
    <n v="123242"/>
    <n v="140291"/>
    <n v="168811"/>
    <n v="161765"/>
    <n v="576071"/>
    <m/>
    <n v="640.07888888888886"/>
    <n v="609822"/>
    <m/>
    <n v="677.58"/>
    <m/>
    <m/>
    <m/>
    <m/>
    <m/>
    <m/>
    <m/>
    <m/>
    <n v="0"/>
    <n v="0"/>
    <n v="0"/>
    <n v="0"/>
    <n v="6654.7455555555562"/>
    <n v="6566.58"/>
  </r>
  <r>
    <x v="13"/>
    <s v="Austin Community College "/>
    <n v="222992"/>
    <x v="6"/>
    <s v="sem"/>
    <s v="sem"/>
    <n v="241331"/>
    <n v="249738"/>
    <n v="137288"/>
    <n v="145075"/>
    <m/>
    <n v="0"/>
    <n v="242309"/>
    <n v="252322"/>
    <n v="620928"/>
    <n v="32637"/>
    <n v="20697.599999999999"/>
    <n v="647135"/>
    <n v="35944"/>
    <n v="21571.166666666668"/>
    <n v="103205"/>
    <n v="114011"/>
    <n v="85440"/>
    <n v="115154"/>
    <n v="91599"/>
    <n v="98024"/>
    <n v="134379"/>
    <n v="133589"/>
    <n v="414623"/>
    <m/>
    <n v="460.6922222222222"/>
    <n v="460778"/>
    <m/>
    <n v="511.97555555555556"/>
    <m/>
    <m/>
    <m/>
    <m/>
    <m/>
    <m/>
    <m/>
    <m/>
    <n v="0"/>
    <n v="0"/>
    <n v="0"/>
    <n v="0"/>
    <n v="21158.292222222222"/>
    <n v="22083.142222222225"/>
  </r>
  <r>
    <x v="13"/>
    <s v="Blinn College "/>
    <n v="223427"/>
    <x v="6"/>
    <s v="sem"/>
    <s v="sem"/>
    <n v="130142"/>
    <n v="137199"/>
    <n v="28194"/>
    <n v="29822"/>
    <n v="17088"/>
    <n v="16233"/>
    <n v="145495"/>
    <n v="156668"/>
    <n v="320919"/>
    <n v="8842"/>
    <n v="10697.3"/>
    <n v="339922"/>
    <n v="9899"/>
    <n v="11330.733333333334"/>
    <n v="24485"/>
    <n v="30465"/>
    <n v="20826"/>
    <n v="33981"/>
    <n v="20455"/>
    <n v="38939"/>
    <n v="34296"/>
    <n v="36797"/>
    <n v="100062"/>
    <m/>
    <n v="111.18"/>
    <n v="140182"/>
    <m/>
    <n v="155.75777777777779"/>
    <m/>
    <m/>
    <m/>
    <m/>
    <m/>
    <m/>
    <m/>
    <m/>
    <n v="0"/>
    <n v="0"/>
    <n v="0"/>
    <n v="0"/>
    <n v="10808.48"/>
    <n v="11486.491111111111"/>
  </r>
  <r>
    <x v="13"/>
    <s v="Brookhaven College  (DCCCD)"/>
    <n v="223524"/>
    <x v="6"/>
    <s v="sem"/>
    <s v="sem"/>
    <n v="77115"/>
    <n v="74837"/>
    <n v="26992"/>
    <n v="30166"/>
    <n v="13678"/>
    <n v="14512"/>
    <n v="68280"/>
    <n v="68735"/>
    <n v="186065"/>
    <n v="6120"/>
    <n v="6202.166666666667"/>
    <n v="188250"/>
    <n v="6560"/>
    <n v="6275"/>
    <n v="79024"/>
    <n v="72472"/>
    <n v="87887"/>
    <n v="79835"/>
    <n v="93858"/>
    <n v="86034"/>
    <n v="100698"/>
    <n v="90742"/>
    <n v="361467"/>
    <m/>
    <n v="401.63"/>
    <n v="329083"/>
    <m/>
    <n v="365.64777777777778"/>
    <m/>
    <m/>
    <m/>
    <m/>
    <m/>
    <m/>
    <m/>
    <m/>
    <n v="0"/>
    <n v="0"/>
    <n v="0"/>
    <n v="0"/>
    <n v="6603.7966666666671"/>
    <n v="6640.6477777777782"/>
  </r>
  <r>
    <x v="13"/>
    <s v="Central Texas College "/>
    <n v="223816"/>
    <x v="6"/>
    <s v="sem"/>
    <s v="sem"/>
    <n v="107166"/>
    <n v="94390"/>
    <n v="63119"/>
    <n v="85813"/>
    <n v="9816"/>
    <n v="9922"/>
    <n v="71113"/>
    <n v="74021"/>
    <n v="251214"/>
    <n v="8952"/>
    <n v="8373.7999999999993"/>
    <n v="264146"/>
    <n v="17189"/>
    <n v="8804.8666666666668"/>
    <n v="46024"/>
    <n v="60124"/>
    <n v="83637"/>
    <n v="110100"/>
    <n v="73596"/>
    <n v="91433"/>
    <n v="76563"/>
    <n v="82082"/>
    <n v="279820"/>
    <m/>
    <n v="310.9111111111111"/>
    <n v="343739"/>
    <m/>
    <n v="381.93222222222221"/>
    <m/>
    <m/>
    <m/>
    <m/>
    <m/>
    <m/>
    <m/>
    <m/>
    <n v="0"/>
    <n v="0"/>
    <n v="0"/>
    <n v="0"/>
    <n v="8684.7111111111099"/>
    <n v="9186.7988888888885"/>
  </r>
  <r>
    <x v="13"/>
    <s v="Collin County Community College District"/>
    <n v="247834"/>
    <x v="6"/>
    <s v="sem"/>
    <s v="sem"/>
    <n v="158071"/>
    <n v="170777"/>
    <n v="32430"/>
    <n v="38106"/>
    <n v="29057"/>
    <n v="30905"/>
    <n v="172415"/>
    <n v="178651"/>
    <n v="391973"/>
    <n v="10715"/>
    <n v="13065.766666666666"/>
    <n v="418439"/>
    <n v="11872"/>
    <n v="13947.966666666667"/>
    <n v="156727"/>
    <n v="133412"/>
    <n v="86093"/>
    <n v="117427"/>
    <n v="117948"/>
    <n v="103662"/>
    <n v="188325"/>
    <n v="176556"/>
    <n v="549093"/>
    <m/>
    <n v="610.10333333333335"/>
    <n v="531057"/>
    <m/>
    <n v="590.06333333333339"/>
    <m/>
    <m/>
    <m/>
    <m/>
    <m/>
    <m/>
    <m/>
    <m/>
    <n v="0"/>
    <n v="0"/>
    <n v="0"/>
    <n v="0"/>
    <n v="13675.869999999999"/>
    <n v="14538.03"/>
  </r>
  <r>
    <x v="13"/>
    <s v="Del Mar College "/>
    <n v="224350"/>
    <x v="6"/>
    <s v="sem"/>
    <s v="sem"/>
    <n v="87180"/>
    <n v="83024"/>
    <n v="22689"/>
    <n v="22815"/>
    <n v="9110"/>
    <n v="8940"/>
    <n v="89648"/>
    <n v="91580"/>
    <n v="208627"/>
    <n v="6846"/>
    <n v="6954.2333333333336"/>
    <n v="206359"/>
    <n v="9874"/>
    <n v="6878.6333333333332"/>
    <n v="58042"/>
    <n v="64250"/>
    <n v="55317"/>
    <n v="78386"/>
    <n v="74246"/>
    <n v="80078"/>
    <n v="59666"/>
    <n v="54017"/>
    <n v="247271"/>
    <m/>
    <n v="274.74555555555554"/>
    <n v="276731"/>
    <m/>
    <n v="307.47888888888889"/>
    <m/>
    <m/>
    <m/>
    <m/>
    <m/>
    <m/>
    <m/>
    <m/>
    <n v="0"/>
    <n v="0"/>
    <n v="0"/>
    <n v="0"/>
    <n v="7228.9788888888888"/>
    <n v="7186.112222222222"/>
  </r>
  <r>
    <x v="13"/>
    <s v="Eastfield College  (DCCCD)"/>
    <n v="224572"/>
    <x v="6"/>
    <s v="sem"/>
    <s v="sem"/>
    <n v="75586"/>
    <n v="75020"/>
    <n v="23793"/>
    <n v="28782"/>
    <n v="12361"/>
    <n v="13052"/>
    <n v="67169"/>
    <n v="68450"/>
    <n v="178909"/>
    <n v="8839"/>
    <n v="5963.6333333333332"/>
    <n v="185304"/>
    <n v="10390"/>
    <n v="6176.8"/>
    <n v="60886"/>
    <n v="54026"/>
    <n v="47137"/>
    <n v="55414"/>
    <n v="64937"/>
    <n v="64418"/>
    <n v="76622"/>
    <n v="63536"/>
    <n v="249582"/>
    <m/>
    <n v="277.31333333333333"/>
    <n v="237394"/>
    <m/>
    <n v="263.77111111111111"/>
    <m/>
    <m/>
    <m/>
    <m/>
    <m/>
    <m/>
    <m/>
    <m/>
    <n v="0"/>
    <n v="0"/>
    <n v="0"/>
    <n v="0"/>
    <n v="6240.9466666666667"/>
    <n v="6440.5711111111113"/>
  </r>
  <r>
    <x v="13"/>
    <s v="El Paso County Community College District"/>
    <n v="224642"/>
    <x v="6"/>
    <s v="sem"/>
    <s v="sem"/>
    <n v="211408"/>
    <n v="200821"/>
    <n v="46871"/>
    <n v="52347"/>
    <m/>
    <n v="0"/>
    <n v="218195"/>
    <n v="225500"/>
    <n v="476474"/>
    <n v="14661"/>
    <n v="15882.466666666667"/>
    <n v="478668"/>
    <n v="28385"/>
    <n v="15955.6"/>
    <n v="126695"/>
    <n v="125484"/>
    <n v="135071"/>
    <n v="122704"/>
    <n v="132083"/>
    <n v="125093"/>
    <n v="149057"/>
    <n v="117043"/>
    <n v="542906"/>
    <m/>
    <n v="603.22888888888883"/>
    <n v="490324"/>
    <m/>
    <n v="544.80444444444447"/>
    <m/>
    <m/>
    <m/>
    <m/>
    <m/>
    <m/>
    <m/>
    <m/>
    <n v="0"/>
    <n v="0"/>
    <n v="0"/>
    <n v="0"/>
    <n v="16485.695555555554"/>
    <n v="16500.404444444444"/>
  </r>
  <r>
    <x v="13"/>
    <s v="Houston Community College"/>
    <n v="225423"/>
    <x v="6"/>
    <s v="sem"/>
    <s v="sem"/>
    <n v="340762"/>
    <n v="340857"/>
    <n v="185850"/>
    <n v="227404"/>
    <m/>
    <n v="0"/>
    <n v="278076"/>
    <n v="297936"/>
    <n v="804688"/>
    <n v="35069"/>
    <n v="26822.933333333334"/>
    <n v="866197"/>
    <n v="37464"/>
    <n v="28873.233333333334"/>
    <n v="463250"/>
    <n v="438229"/>
    <n v="468794"/>
    <n v="411029"/>
    <n v="473137"/>
    <n v="396354"/>
    <n v="601583"/>
    <n v="495744"/>
    <n v="2006764"/>
    <m/>
    <n v="2229.7377777777779"/>
    <n v="1741356"/>
    <m/>
    <n v="1934.84"/>
    <m/>
    <m/>
    <m/>
    <m/>
    <m/>
    <m/>
    <m/>
    <m/>
    <n v="0"/>
    <n v="0"/>
    <n v="0"/>
    <n v="0"/>
    <n v="29052.671111111111"/>
    <n v="30808.073333333334"/>
  </r>
  <r>
    <x v="13"/>
    <s v="Laredo Community College "/>
    <n v="226134"/>
    <x v="6"/>
    <s v="sem"/>
    <s v="sem"/>
    <n v="66754"/>
    <n v="64613"/>
    <n v="14943"/>
    <n v="14073"/>
    <n v="7850"/>
    <n v="8504"/>
    <n v="67003"/>
    <n v="70254"/>
    <n v="156550"/>
    <n v="512"/>
    <n v="5218.333333333333"/>
    <n v="157444"/>
    <n v="1250"/>
    <n v="5248.1333333333332"/>
    <n v="35544"/>
    <n v="21583"/>
    <n v="14628"/>
    <n v="41862"/>
    <n v="21536"/>
    <n v="58900"/>
    <n v="22136"/>
    <n v="40473"/>
    <n v="93844"/>
    <m/>
    <n v="104.27111111111111"/>
    <n v="162818"/>
    <m/>
    <n v="180.9088888888889"/>
    <m/>
    <m/>
    <m/>
    <m/>
    <m/>
    <m/>
    <m/>
    <m/>
    <n v="0"/>
    <n v="0"/>
    <n v="0"/>
    <n v="0"/>
    <n v="5322.6044444444442"/>
    <n v="5429.0422222222223"/>
  </r>
  <r>
    <x v="13"/>
    <s v="McLennan Community College "/>
    <n v="226578"/>
    <x v="6"/>
    <s v="sem"/>
    <s v="sem"/>
    <n v="70734"/>
    <n v="68821"/>
    <n v="16795"/>
    <n v="20312"/>
    <n v="10141"/>
    <n v="9693"/>
    <n v="75352"/>
    <n v="71854"/>
    <n v="173022"/>
    <n v="7270"/>
    <n v="5767.4"/>
    <n v="170680"/>
    <n v="7898"/>
    <n v="5689.333333333333"/>
    <n v="55385"/>
    <n v="44356"/>
    <n v="47548"/>
    <n v="51007"/>
    <n v="73072"/>
    <n v="67135"/>
    <n v="54517"/>
    <n v="41879"/>
    <n v="230522"/>
    <m/>
    <n v="256.13555555555558"/>
    <n v="204377"/>
    <m/>
    <n v="227.08555555555554"/>
    <m/>
    <m/>
    <m/>
    <m/>
    <m/>
    <m/>
    <m/>
    <m/>
    <n v="0"/>
    <n v="0"/>
    <n v="0"/>
    <n v="0"/>
    <n v="6023.5355555555552"/>
    <n v="5916.4188888888884"/>
  </r>
  <r>
    <x v="13"/>
    <s v="Navarro College "/>
    <n v="227146"/>
    <x v="6"/>
    <s v="sem"/>
    <s v="sem"/>
    <n v="67687"/>
    <n v="72813"/>
    <n v="14263"/>
    <n v="16553"/>
    <n v="4250"/>
    <n v="5462"/>
    <n v="70622"/>
    <n v="77047"/>
    <n v="156822"/>
    <n v="15388"/>
    <n v="5227.3999999999996"/>
    <n v="171875"/>
    <n v="19652"/>
    <n v="5729.166666666667"/>
    <n v="34867"/>
    <n v="84213"/>
    <n v="19087"/>
    <n v="95150"/>
    <n v="24704"/>
    <n v="33176"/>
    <n v="33267"/>
    <n v="23831"/>
    <n v="111925"/>
    <m/>
    <n v="124.36111111111111"/>
    <n v="236370"/>
    <m/>
    <n v="262.63333333333333"/>
    <m/>
    <m/>
    <m/>
    <m/>
    <m/>
    <m/>
    <m/>
    <m/>
    <n v="0"/>
    <n v="0"/>
    <n v="0"/>
    <n v="0"/>
    <n v="5351.7611111111109"/>
    <n v="5991.8"/>
  </r>
  <r>
    <x v="13"/>
    <s v="North Harris Montgomery Community College District"/>
    <n v="227182"/>
    <x v="6"/>
    <s v="sem"/>
    <s v="sem"/>
    <n v="323008"/>
    <n v="341083"/>
    <n v="150124"/>
    <n v="160831"/>
    <m/>
    <n v="0"/>
    <n v="330410"/>
    <n v="340294"/>
    <n v="803542"/>
    <n v="41817"/>
    <n v="26784.733333333334"/>
    <n v="842208"/>
    <n v="43900"/>
    <n v="28073.599999999999"/>
    <n v="123612"/>
    <n v="159298"/>
    <n v="92052"/>
    <n v="84210"/>
    <n v="124776"/>
    <n v="108155"/>
    <n v="153405"/>
    <n v="199056"/>
    <n v="493845"/>
    <m/>
    <n v="548.7166666666667"/>
    <n v="550719"/>
    <m/>
    <n v="611.91"/>
    <m/>
    <m/>
    <m/>
    <m/>
    <m/>
    <m/>
    <m/>
    <m/>
    <n v="0"/>
    <n v="0"/>
    <n v="0"/>
    <n v="0"/>
    <n v="27333.45"/>
    <n v="28685.51"/>
  </r>
  <r>
    <x v="13"/>
    <s v="North Lake College  (DCCCD)"/>
    <n v="227191"/>
    <x v="6"/>
    <s v="sem"/>
    <s v="sem"/>
    <n v="69459"/>
    <n v="71092"/>
    <n v="19814"/>
    <n v="20970"/>
    <n v="11857"/>
    <n v="13138"/>
    <n v="68983"/>
    <n v="74096"/>
    <n v="170113"/>
    <n v="8628"/>
    <n v="5670.4333333333334"/>
    <n v="179296"/>
    <n v="11155"/>
    <n v="5976.5333333333338"/>
    <n v="131541"/>
    <n v="122671"/>
    <n v="68066"/>
    <n v="71466"/>
    <n v="74497"/>
    <n v="65638"/>
    <n v="163250"/>
    <n v="167828"/>
    <n v="437354"/>
    <m/>
    <n v="485.94888888888892"/>
    <n v="427603"/>
    <m/>
    <n v="475.11444444444442"/>
    <m/>
    <m/>
    <m/>
    <m/>
    <m/>
    <m/>
    <m/>
    <m/>
    <n v="0"/>
    <n v="0"/>
    <n v="0"/>
    <n v="0"/>
    <n v="6156.3822222222225"/>
    <n v="6451.6477777777782"/>
  </r>
  <r>
    <x v="13"/>
    <s v="Northwest Vista College (ACCD)"/>
    <n v="420398"/>
    <x v="6"/>
    <s v="sem"/>
    <s v="sem"/>
    <n v="82699"/>
    <n v="86824"/>
    <n v="21933"/>
    <n v="25039"/>
    <n v="3045"/>
    <n v="3266"/>
    <n v="90201"/>
    <n v="99467"/>
    <n v="197878"/>
    <n v="13778"/>
    <n v="6595.9333333333334"/>
    <n v="214596"/>
    <n v="15928"/>
    <n v="7153.2"/>
    <n v="13342"/>
    <n v="18855"/>
    <n v="5156"/>
    <n v="4189"/>
    <n v="11211"/>
    <n v="8255"/>
    <n v="18628"/>
    <n v="35907"/>
    <n v="48337"/>
    <m/>
    <n v="53.707777777777778"/>
    <n v="67206"/>
    <m/>
    <n v="74.673333333333332"/>
    <m/>
    <m/>
    <m/>
    <m/>
    <m/>
    <m/>
    <m/>
    <m/>
    <n v="0"/>
    <n v="0"/>
    <n v="0"/>
    <n v="0"/>
    <n v="6649.6411111111111"/>
    <n v="7227.873333333333"/>
  </r>
  <r>
    <x v="13"/>
    <s v="Palo Alto College  (ACCD)"/>
    <n v="246354"/>
    <x v="6"/>
    <s v="sem"/>
    <s v="sem"/>
    <n v="65277"/>
    <n v="63996"/>
    <n v="14830"/>
    <n v="16135"/>
    <n v="4957"/>
    <n v="5384"/>
    <n v="68246"/>
    <n v="66314"/>
    <n v="153310"/>
    <n v="12109"/>
    <n v="5110.333333333333"/>
    <n v="151829"/>
    <n v="13038"/>
    <n v="5060.9666666666662"/>
    <n v="33728"/>
    <n v="61827"/>
    <n v="21790"/>
    <n v="43408"/>
    <n v="46207"/>
    <n v="53657"/>
    <n v="63358"/>
    <n v="85165"/>
    <n v="165083"/>
    <m/>
    <n v="183.42555555555555"/>
    <n v="244057"/>
    <m/>
    <n v="271.17444444444442"/>
    <m/>
    <m/>
    <m/>
    <m/>
    <m/>
    <m/>
    <m/>
    <m/>
    <n v="0"/>
    <n v="0"/>
    <n v="0"/>
    <n v="0"/>
    <n v="5293.7588888888886"/>
    <n v="5332.1411111111111"/>
  </r>
  <r>
    <x v="13"/>
    <s v="Richland College  (DCCCD)"/>
    <n v="227766"/>
    <x v="6"/>
    <s v="sem"/>
    <s v="sem"/>
    <n v="116429"/>
    <n v="108744"/>
    <n v="41084"/>
    <n v="44226"/>
    <n v="20254"/>
    <n v="20609"/>
    <n v="102949"/>
    <n v="105202"/>
    <n v="280716"/>
    <n v="16732"/>
    <n v="9357.2000000000007"/>
    <n v="278781"/>
    <n v="20055"/>
    <n v="9292.7000000000007"/>
    <n v="200933"/>
    <n v="151151"/>
    <n v="216991"/>
    <n v="183877"/>
    <n v="186780"/>
    <n v="172059"/>
    <n v="243980"/>
    <n v="238614"/>
    <n v="848684"/>
    <m/>
    <n v="942.98222222222228"/>
    <n v="745701"/>
    <m/>
    <n v="828.55666666666662"/>
    <m/>
    <m/>
    <m/>
    <m/>
    <m/>
    <m/>
    <m/>
    <m/>
    <n v="0"/>
    <n v="0"/>
    <n v="0"/>
    <n v="0"/>
    <n v="10300.182222222224"/>
    <n v="10121.256666666668"/>
  </r>
  <r>
    <x v="13"/>
    <s v="San Antonio College (ACCD)"/>
    <n v="227924"/>
    <x v="6"/>
    <s v="sem"/>
    <s v="sem"/>
    <n v="180695"/>
    <n v="183907"/>
    <n v="33632"/>
    <n v="45960"/>
    <n v="28560"/>
    <n v="18125"/>
    <n v="185418"/>
    <n v="185459"/>
    <n v="428305"/>
    <n v="15409"/>
    <n v="14276.833333333334"/>
    <n v="433451"/>
    <n v="18352"/>
    <n v="14448.366666666667"/>
    <n v="100444"/>
    <n v="98954"/>
    <n v="75584"/>
    <n v="78124"/>
    <n v="94670"/>
    <n v="104905"/>
    <n v="120704"/>
    <n v="137060"/>
    <n v="391402"/>
    <m/>
    <n v="434.89111111111112"/>
    <n v="419043"/>
    <m/>
    <n v="465.60333333333335"/>
    <m/>
    <m/>
    <m/>
    <m/>
    <m/>
    <m/>
    <m/>
    <m/>
    <n v="0"/>
    <n v="0"/>
    <n v="0"/>
    <n v="0"/>
    <n v="14711.724444444446"/>
    <n v="14913.97"/>
  </r>
  <r>
    <x v="13"/>
    <s v="San Jacinto College"/>
    <n v="227979"/>
    <x v="6"/>
    <s v="sem"/>
    <s v="sem"/>
    <n v="197610"/>
    <n v="198622"/>
    <n v="53031"/>
    <n v="55959"/>
    <m/>
    <n v="0"/>
    <n v="222244"/>
    <n v="234474"/>
    <n v="472885"/>
    <n v="19347"/>
    <n v="15762.833333333334"/>
    <n v="489055"/>
    <n v="22068"/>
    <n v="16301.833333333334"/>
    <n v="143417"/>
    <n v="131006"/>
    <n v="90139"/>
    <n v="87803"/>
    <n v="170567"/>
    <n v="131353"/>
    <n v="159193"/>
    <n v="134299"/>
    <n v="563316"/>
    <m/>
    <n v="625.90666666666664"/>
    <n v="484461"/>
    <m/>
    <n v="538.29"/>
    <m/>
    <m/>
    <m/>
    <m/>
    <m/>
    <m/>
    <m/>
    <m/>
    <n v="0"/>
    <n v="0"/>
    <n v="0"/>
    <n v="0"/>
    <n v="16388.740000000002"/>
    <n v="16840.123333333333"/>
  </r>
  <r>
    <x v="13"/>
    <s v="South Plains College "/>
    <n v="228158"/>
    <x v="6"/>
    <s v="sem"/>
    <s v="sem"/>
    <n v="84331"/>
    <n v="84718"/>
    <n v="13428"/>
    <n v="12826"/>
    <n v="6059"/>
    <n v="5753"/>
    <n v="89625"/>
    <n v="88697"/>
    <n v="193443"/>
    <n v="8794"/>
    <n v="6448.1"/>
    <n v="191994"/>
    <n v="18520"/>
    <n v="6399.8"/>
    <n v="46416"/>
    <n v="42001"/>
    <n v="53847"/>
    <n v="54767"/>
    <n v="46797"/>
    <n v="50661"/>
    <n v="45622"/>
    <n v="73789"/>
    <n v="192682"/>
    <m/>
    <n v="214.0911111111111"/>
    <n v="221218"/>
    <m/>
    <n v="245.79777777777778"/>
    <m/>
    <m/>
    <m/>
    <m/>
    <m/>
    <m/>
    <m/>
    <m/>
    <n v="0"/>
    <n v="0"/>
    <n v="0"/>
    <n v="0"/>
    <n v="6662.1911111111112"/>
    <n v="6645.597777777778"/>
  </r>
  <r>
    <x v="13"/>
    <s v="South Texas College"/>
    <n v="409315"/>
    <x v="6"/>
    <s v="sem"/>
    <s v="sem"/>
    <n v="142223"/>
    <n v="156853"/>
    <n v="24368"/>
    <n v="29231"/>
    <n v="23775"/>
    <n v="27719"/>
    <n v="161452"/>
    <n v="175464"/>
    <n v="351818"/>
    <n v="53414"/>
    <n v="11727.266666666666"/>
    <n v="389267"/>
    <n v="70739"/>
    <n v="12975.566666666668"/>
    <n v="30419"/>
    <n v="45454"/>
    <n v="30465"/>
    <n v="39703"/>
    <n v="37236"/>
    <n v="43180"/>
    <n v="38947"/>
    <n v="40162"/>
    <n v="137067"/>
    <m/>
    <n v="152.29666666666665"/>
    <n v="168499"/>
    <m/>
    <n v="187.2211111111111"/>
    <m/>
    <m/>
    <m/>
    <m/>
    <m/>
    <m/>
    <m/>
    <m/>
    <n v="0"/>
    <n v="0"/>
    <n v="0"/>
    <n v="0"/>
    <n v="11879.563333333334"/>
    <n v="13162.787777777779"/>
  </r>
  <r>
    <x v="13"/>
    <s v="St. Philip's College  (ACCD)"/>
    <n v="227854"/>
    <x v="6"/>
    <s v="sem"/>
    <s v="sem"/>
    <n v="87454"/>
    <n v="85644"/>
    <n v="24855"/>
    <n v="26641"/>
    <n v="6477"/>
    <n v="5878"/>
    <n v="84327"/>
    <n v="82104"/>
    <n v="203113"/>
    <n v="7744"/>
    <n v="6770.4333333333334"/>
    <n v="200267"/>
    <n v="11866"/>
    <n v="6675.5666666666666"/>
    <n v="23136"/>
    <n v="26372"/>
    <n v="34231"/>
    <n v="21378"/>
    <n v="33771"/>
    <n v="26591"/>
    <n v="40520"/>
    <n v="38966"/>
    <n v="131658"/>
    <m/>
    <n v="146.28666666666666"/>
    <n v="113307"/>
    <m/>
    <n v="125.89666666666666"/>
    <m/>
    <m/>
    <m/>
    <m/>
    <m/>
    <m/>
    <m/>
    <m/>
    <n v="0"/>
    <n v="0"/>
    <n v="0"/>
    <n v="0"/>
    <n v="6916.72"/>
    <n v="6801.4633333333331"/>
  </r>
  <r>
    <x v="13"/>
    <s v="Tarrant County College"/>
    <n v="228547"/>
    <x v="6"/>
    <s v="sem"/>
    <s v="sem"/>
    <n v="278738"/>
    <n v="293520"/>
    <n v="111624"/>
    <n v="135531"/>
    <m/>
    <n v="0"/>
    <n v="299150"/>
    <n v="314581"/>
    <n v="689512"/>
    <n v="19643"/>
    <n v="22983.733333333334"/>
    <n v="743632"/>
    <n v="20175"/>
    <n v="24787.733333333334"/>
    <n v="123742"/>
    <n v="154477"/>
    <n v="163363"/>
    <n v="142443"/>
    <n v="140424"/>
    <n v="147109"/>
    <n v="167872"/>
    <n v="216751"/>
    <n v="595401"/>
    <m/>
    <n v="661.55666666666662"/>
    <n v="660780"/>
    <m/>
    <n v="734.2"/>
    <m/>
    <m/>
    <m/>
    <m/>
    <m/>
    <m/>
    <m/>
    <m/>
    <n v="0"/>
    <n v="0"/>
    <n v="0"/>
    <n v="0"/>
    <n v="23645.29"/>
    <n v="25521.933333333334"/>
  </r>
  <r>
    <x v="13"/>
    <s v="Texas Southmost College "/>
    <n v="229072"/>
    <x v="6"/>
    <s v="sem"/>
    <s v="sem"/>
    <n v="81467"/>
    <n v="74555"/>
    <n v="14768"/>
    <n v="13205"/>
    <n v="8308"/>
    <n v="7766"/>
    <n v="94309"/>
    <n v="86511"/>
    <n v="198852"/>
    <n v="26995"/>
    <n v="6628.4"/>
    <n v="182037"/>
    <n v="30751"/>
    <n v="6067.9"/>
    <n v="18071"/>
    <n v="13640"/>
    <n v="8570"/>
    <n v="12688"/>
    <n v="10805"/>
    <n v="15941"/>
    <n v="19203"/>
    <n v="12966"/>
    <n v="56649"/>
    <m/>
    <n v="62.943333333333335"/>
    <n v="55235"/>
    <m/>
    <n v="61.37222222222222"/>
    <m/>
    <m/>
    <m/>
    <m/>
    <m/>
    <m/>
    <m/>
    <m/>
    <n v="0"/>
    <n v="0"/>
    <n v="0"/>
    <n v="0"/>
    <n v="6691.3433333333332"/>
    <n v="6129.2722222222219"/>
  </r>
  <r>
    <x v="13"/>
    <s v="Tyler Junior College "/>
    <n v="229355"/>
    <x v="6"/>
    <s v="sem"/>
    <s v="sem"/>
    <n v="88359"/>
    <n v="89074"/>
    <n v="13267"/>
    <n v="19863"/>
    <n v="7247"/>
    <n v="7352"/>
    <n v="89679"/>
    <n v="103234"/>
    <n v="198552"/>
    <n v="469"/>
    <n v="6618.4"/>
    <n v="219523"/>
    <n v="17128"/>
    <n v="7317.4333333333334"/>
    <n v="48689"/>
    <n v="47665"/>
    <n v="59066"/>
    <n v="79586"/>
    <n v="48478"/>
    <n v="105615"/>
    <n v="60433"/>
    <n v="79459"/>
    <n v="216666"/>
    <m/>
    <n v="240.74"/>
    <n v="312325"/>
    <m/>
    <n v="347.02777777777777"/>
    <m/>
    <m/>
    <m/>
    <m/>
    <m/>
    <m/>
    <m/>
    <m/>
    <n v="0"/>
    <n v="0"/>
    <n v="0"/>
    <n v="0"/>
    <n v="6859.1399999999994"/>
    <n v="7664.4611111111108"/>
  </r>
  <r>
    <x v="13"/>
    <s v="Alvin Community College "/>
    <n v="222567"/>
    <x v="7"/>
    <s v="sem"/>
    <s v="sem"/>
    <n v="36471"/>
    <n v="37081"/>
    <n v="15883"/>
    <n v="17954"/>
    <m/>
    <n v="0"/>
    <n v="37753"/>
    <n v="37447"/>
    <n v="90107"/>
    <n v="4355"/>
    <n v="3003.5666666666666"/>
    <n v="92482"/>
    <n v="6632"/>
    <n v="3082.7333333333331"/>
    <n v="95666"/>
    <n v="28354"/>
    <n v="61770"/>
    <n v="19341"/>
    <n v="73582"/>
    <n v="26632"/>
    <n v="100385"/>
    <n v="34141"/>
    <n v="331403"/>
    <m/>
    <n v="368.22555555555556"/>
    <n v="108468"/>
    <m/>
    <n v="120.52"/>
    <m/>
    <m/>
    <m/>
    <m/>
    <m/>
    <m/>
    <m/>
    <m/>
    <n v="0"/>
    <n v="0"/>
    <n v="0"/>
    <n v="0"/>
    <n v="3371.7922222222223"/>
    <n v="3203.2533333333331"/>
  </r>
  <r>
    <x v="13"/>
    <s v="Angelina College "/>
    <n v="222822"/>
    <x v="7"/>
    <s v="sem"/>
    <s v="sem"/>
    <n v="40310"/>
    <n v="40647"/>
    <n v="7714"/>
    <n v="7915"/>
    <n v="3923"/>
    <n v="3270"/>
    <n v="42599"/>
    <n v="43705"/>
    <n v="94546"/>
    <n v="2948"/>
    <n v="3151.5333333333333"/>
    <n v="95537"/>
    <n v="5619"/>
    <n v="3184.5666666666666"/>
    <n v="59327"/>
    <n v="22935"/>
    <n v="32589"/>
    <n v="67034"/>
    <n v="60706"/>
    <n v="67331"/>
    <n v="28913"/>
    <n v="24362"/>
    <n v="181535"/>
    <m/>
    <n v="201.70555555555555"/>
    <n v="181662"/>
    <m/>
    <n v="201.84666666666666"/>
    <m/>
    <m/>
    <m/>
    <m/>
    <m/>
    <m/>
    <m/>
    <m/>
    <n v="0"/>
    <n v="0"/>
    <n v="0"/>
    <n v="0"/>
    <n v="3353.2388888888891"/>
    <n v="3386.4133333333334"/>
  </r>
  <r>
    <x v="13"/>
    <s v="Brazosport College "/>
    <n v="223506"/>
    <x v="7"/>
    <s v="sem"/>
    <s v="sem"/>
    <n v="28303"/>
    <n v="26750"/>
    <n v="7828"/>
    <n v="7989"/>
    <n v="2715"/>
    <n v="2843"/>
    <n v="29245"/>
    <n v="30430"/>
    <n v="68091"/>
    <n v="6825"/>
    <n v="2269.6999999999998"/>
    <n v="68012"/>
    <n v="8672"/>
    <n v="2267.0666666666666"/>
    <n v="17656"/>
    <n v="10939"/>
    <n v="9841"/>
    <n v="10808"/>
    <n v="3539"/>
    <n v="4362"/>
    <n v="18310"/>
    <n v="13431"/>
    <n v="49346"/>
    <m/>
    <n v="54.828888888888891"/>
    <n v="39540"/>
    <m/>
    <n v="43.93333333333333"/>
    <m/>
    <m/>
    <m/>
    <m/>
    <m/>
    <m/>
    <m/>
    <m/>
    <n v="0"/>
    <n v="0"/>
    <n v="0"/>
    <n v="0"/>
    <n v="2324.5288888888886"/>
    <n v="2311"/>
  </r>
  <r>
    <x v="13"/>
    <s v="Cedar Valley College  (DCCCD)"/>
    <n v="223773"/>
    <x v="7"/>
    <s v="sem"/>
    <s v="sem"/>
    <n v="37049"/>
    <n v="33239"/>
    <n v="10817"/>
    <n v="14756"/>
    <n v="6286"/>
    <n v="6886"/>
    <n v="33724"/>
    <n v="34765"/>
    <n v="87876"/>
    <n v="3457"/>
    <n v="2929.2"/>
    <n v="89646"/>
    <n v="5842"/>
    <n v="2988.2"/>
    <n v="59925"/>
    <n v="58260"/>
    <n v="74472"/>
    <n v="92342"/>
    <n v="66677"/>
    <n v="78542"/>
    <n v="95481"/>
    <n v="74504"/>
    <n v="296555"/>
    <m/>
    <n v="329.50555555555553"/>
    <n v="303648"/>
    <m/>
    <n v="337.38666666666666"/>
    <m/>
    <m/>
    <m/>
    <m/>
    <m/>
    <m/>
    <m/>
    <m/>
    <n v="0"/>
    <n v="0"/>
    <n v="0"/>
    <n v="0"/>
    <n v="3258.7055555555553"/>
    <n v="3325.5866666666666"/>
  </r>
  <r>
    <x v="13"/>
    <s v="Cisco Junior College"/>
    <n v="223898"/>
    <x v="7"/>
    <s v="sem"/>
    <s v="sem"/>
    <n v="33284"/>
    <n v="30996"/>
    <n v="6206"/>
    <n v="6082"/>
    <n v="2033"/>
    <n v="1757"/>
    <n v="33035"/>
    <n v="36078"/>
    <n v="74558"/>
    <n v="1828"/>
    <n v="2485.2666666666669"/>
    <n v="74913"/>
    <n v="1734"/>
    <n v="2497.1"/>
    <n v="5162"/>
    <n v="2693"/>
    <n v="3313"/>
    <n v="4640"/>
    <n v="1212"/>
    <n v="1613"/>
    <n v="1994"/>
    <n v="3106"/>
    <n v="11681"/>
    <m/>
    <n v="12.978888888888889"/>
    <n v="12052"/>
    <m/>
    <n v="13.391111111111112"/>
    <m/>
    <m/>
    <m/>
    <m/>
    <m/>
    <m/>
    <m/>
    <m/>
    <n v="0"/>
    <n v="0"/>
    <n v="0"/>
    <n v="0"/>
    <n v="2498.2455555555557"/>
    <n v="2510.491111111111"/>
  </r>
  <r>
    <x v="13"/>
    <s v="Coastal Bend College"/>
    <n v="223320"/>
    <x v="7"/>
    <s v="sem"/>
    <s v="sem"/>
    <n v="24801"/>
    <n v="25049"/>
    <n v="7390"/>
    <n v="9395"/>
    <n v="1203"/>
    <n v="2096"/>
    <n v="26842"/>
    <n v="30982"/>
    <n v="60236"/>
    <n v="6766"/>
    <n v="2007.8666666666666"/>
    <n v="67522"/>
    <n v="4670"/>
    <n v="2250.7333333333331"/>
    <n v="22858"/>
    <n v="28175"/>
    <n v="35574"/>
    <n v="51155"/>
    <n v="37825"/>
    <n v="46501"/>
    <n v="20513"/>
    <n v="33348"/>
    <n v="116770"/>
    <m/>
    <n v="129.74444444444444"/>
    <n v="159179"/>
    <m/>
    <n v="176.86555555555555"/>
    <m/>
    <m/>
    <m/>
    <m/>
    <m/>
    <m/>
    <m/>
    <m/>
    <n v="0"/>
    <n v="0"/>
    <n v="0"/>
    <n v="0"/>
    <n v="2137.6111111111109"/>
    <n v="2427.5988888888887"/>
  </r>
  <r>
    <x v="13"/>
    <s v="College of the Mainland"/>
    <n v="226408"/>
    <x v="7"/>
    <s v="sem"/>
    <s v="sem"/>
    <n v="29986"/>
    <n v="29657"/>
    <n v="6135"/>
    <n v="7414"/>
    <n v="5687"/>
    <n v="6148"/>
    <n v="28778"/>
    <n v="29284"/>
    <n v="70586"/>
    <n v="5835"/>
    <n v="2352.8666666666668"/>
    <n v="72503"/>
    <n v="5935"/>
    <n v="2416.7666666666669"/>
    <n v="55463"/>
    <n v="48642"/>
    <n v="25434"/>
    <n v="24600"/>
    <n v="44587"/>
    <n v="48721"/>
    <n v="62305"/>
    <n v="32718"/>
    <n v="187789"/>
    <m/>
    <n v="208.65444444444444"/>
    <n v="154681"/>
    <m/>
    <n v="171.86777777777777"/>
    <m/>
    <m/>
    <m/>
    <m/>
    <m/>
    <m/>
    <m/>
    <m/>
    <n v="0"/>
    <n v="0"/>
    <n v="0"/>
    <n v="0"/>
    <n v="2561.5211111111112"/>
    <n v="2588.6344444444449"/>
  </r>
  <r>
    <x v="13"/>
    <s v="El Centro College  (DCCCD)"/>
    <n v="224615"/>
    <x v="7"/>
    <s v="sem"/>
    <s v="sem"/>
    <n v="51042"/>
    <n v="51189"/>
    <n v="10634"/>
    <n v="13902"/>
    <n v="6516"/>
    <n v="7614"/>
    <n v="50058"/>
    <n v="53839"/>
    <n v="118250"/>
    <n v="4318"/>
    <n v="3941.6666666666665"/>
    <n v="126544"/>
    <n v="6383"/>
    <n v="4218.1333333333332"/>
    <n v="200363"/>
    <n v="199937"/>
    <n v="191320"/>
    <n v="260001"/>
    <n v="209923"/>
    <n v="319320"/>
    <n v="239109"/>
    <n v="380788"/>
    <n v="840715"/>
    <m/>
    <n v="934.12777777777774"/>
    <n v="1160046"/>
    <m/>
    <n v="1288.94"/>
    <m/>
    <m/>
    <m/>
    <m/>
    <m/>
    <m/>
    <m/>
    <m/>
    <n v="0"/>
    <n v="0"/>
    <n v="0"/>
    <n v="0"/>
    <n v="4875.7944444444438"/>
    <n v="5507.0733333333337"/>
  </r>
  <r>
    <x v="13"/>
    <s v="Grayson County College "/>
    <n v="225070"/>
    <x v="7"/>
    <s v="sem"/>
    <s v="sem"/>
    <n v="36329"/>
    <n v="36025"/>
    <n v="6629"/>
    <n v="7273"/>
    <n v="2083"/>
    <n v="2260"/>
    <n v="36899"/>
    <n v="40157"/>
    <n v="81940"/>
    <n v="0"/>
    <n v="2731.3333333333335"/>
    <n v="85715"/>
    <n v="3815"/>
    <n v="2857.1666666666665"/>
    <n v="30650"/>
    <n v="26451"/>
    <n v="34088"/>
    <n v="35125"/>
    <n v="37745"/>
    <n v="33997"/>
    <n v="40245"/>
    <n v="28571"/>
    <n v="142728"/>
    <m/>
    <n v="158.58666666666667"/>
    <n v="124144"/>
    <m/>
    <n v="137.93777777777777"/>
    <m/>
    <m/>
    <m/>
    <m/>
    <m/>
    <m/>
    <m/>
    <m/>
    <n v="0"/>
    <n v="0"/>
    <n v="0"/>
    <n v="0"/>
    <n v="2889.92"/>
    <n v="2995.1044444444442"/>
  </r>
  <r>
    <x v="13"/>
    <s v="Hill College"/>
    <n v="225371"/>
    <x v="7"/>
    <s v="sem"/>
    <s v="sem"/>
    <n v="31219"/>
    <n v="29931"/>
    <n v="5567"/>
    <n v="7466"/>
    <n v="1667"/>
    <n v="1918"/>
    <n v="31133"/>
    <n v="33830"/>
    <n v="69586"/>
    <n v="10409"/>
    <n v="2319.5333333333333"/>
    <n v="73145"/>
    <n v="8189"/>
    <n v="2438.1666666666665"/>
    <n v="92047"/>
    <n v="19828"/>
    <n v="35113"/>
    <n v="17580"/>
    <n v="23223"/>
    <n v="26486"/>
    <n v="16995"/>
    <n v="17196"/>
    <n v="167378"/>
    <m/>
    <n v="185.97555555555556"/>
    <n v="81090"/>
    <m/>
    <n v="90.1"/>
    <m/>
    <m/>
    <m/>
    <m/>
    <m/>
    <m/>
    <m/>
    <m/>
    <n v="0"/>
    <n v="0"/>
    <n v="0"/>
    <n v="0"/>
    <n v="2505.508888888889"/>
    <n v="2528.2666666666664"/>
  </r>
  <r>
    <x v="13"/>
    <s v="Howard College (HCJCD)"/>
    <n v="225520"/>
    <x v="7"/>
    <s v="sem"/>
    <s v="sem"/>
    <n v="24569"/>
    <n v="26299"/>
    <n v="1076"/>
    <n v="4842"/>
    <n v="5185"/>
    <n v="2238"/>
    <n v="27711"/>
    <n v="28526"/>
    <n v="58541"/>
    <n v="2326"/>
    <n v="1951.3666666666666"/>
    <n v="61905"/>
    <n v="11052"/>
    <n v="2063.5"/>
    <n v="221114"/>
    <n v="215791"/>
    <n v="240571"/>
    <n v="255640"/>
    <n v="267985"/>
    <n v="244486"/>
    <n v="230966"/>
    <n v="249635"/>
    <n v="960636"/>
    <m/>
    <n v="1067.3733333333332"/>
    <n v="965552"/>
    <m/>
    <n v="1072.8355555555556"/>
    <m/>
    <m/>
    <m/>
    <m/>
    <m/>
    <m/>
    <m/>
    <m/>
    <n v="0"/>
    <n v="0"/>
    <n v="0"/>
    <n v="0"/>
    <n v="3018.74"/>
    <n v="3136.3355555555554"/>
  </r>
  <r>
    <x v="13"/>
    <s v="Kilgore College "/>
    <n v="226019"/>
    <x v="7"/>
    <s v="sem"/>
    <s v="sem"/>
    <n v="45351"/>
    <n v="49164"/>
    <n v="8574"/>
    <n v="9351"/>
    <n v="5828"/>
    <n v="6273"/>
    <n v="50875"/>
    <n v="53146"/>
    <n v="110628"/>
    <n v="3684"/>
    <n v="3687.6"/>
    <n v="117934"/>
    <n v="5919"/>
    <n v="3931.1333333333332"/>
    <n v="156928"/>
    <n v="174106"/>
    <n v="104327"/>
    <n v="293166"/>
    <n v="111790"/>
    <n v="195562"/>
    <n v="231572"/>
    <n v="150561"/>
    <n v="604617"/>
    <m/>
    <n v="671.79666666666662"/>
    <n v="813395"/>
    <m/>
    <n v="903.77222222222224"/>
    <m/>
    <m/>
    <m/>
    <m/>
    <m/>
    <m/>
    <m/>
    <m/>
    <n v="0"/>
    <n v="0"/>
    <n v="0"/>
    <n v="0"/>
    <n v="4359.3966666666665"/>
    <n v="4834.9055555555551"/>
  </r>
  <r>
    <x v="13"/>
    <s v="Lamar Institute of Technology"/>
    <n v="441760"/>
    <x v="7"/>
    <s v="sem"/>
    <s v="sem"/>
    <n v="23587"/>
    <n v="25456"/>
    <n v="1887"/>
    <n v="2135"/>
    <n v="1533"/>
    <n v="1569"/>
    <n v="27917"/>
    <n v="31316"/>
    <n v="54924"/>
    <n v="0"/>
    <n v="1830.8"/>
    <n v="60476"/>
    <n v="666"/>
    <n v="2015.8666666666666"/>
    <n v="65698"/>
    <n v="44138"/>
    <n v="60494"/>
    <n v="76260"/>
    <n v="35938"/>
    <n v="61507"/>
    <n v="57915"/>
    <n v="46522"/>
    <n v="220045"/>
    <m/>
    <n v="244.49444444444444"/>
    <n v="228427"/>
    <m/>
    <n v="253.80777777777777"/>
    <m/>
    <m/>
    <m/>
    <m/>
    <m/>
    <m/>
    <m/>
    <m/>
    <n v="0"/>
    <n v="0"/>
    <n v="0"/>
    <n v="0"/>
    <n v="2075.2944444444443"/>
    <n v="2269.6744444444444"/>
  </r>
  <r>
    <x v="13"/>
    <s v="Lee College "/>
    <n v="226204"/>
    <x v="7"/>
    <s v="sem"/>
    <s v="sem"/>
    <n v="50849"/>
    <n v="51279"/>
    <n v="19939"/>
    <n v="21552"/>
    <n v="2859"/>
    <n v="3504"/>
    <n v="49383"/>
    <n v="48670"/>
    <n v="123030"/>
    <n v="2886"/>
    <n v="4101"/>
    <n v="125005"/>
    <n v="4770"/>
    <n v="4166.833333333333"/>
    <n v="37762"/>
    <n v="51196"/>
    <n v="43101"/>
    <n v="38788"/>
    <n v="44877"/>
    <n v="45347"/>
    <n v="27897"/>
    <n v="34741"/>
    <n v="153637"/>
    <m/>
    <n v="170.70777777777778"/>
    <n v="170072"/>
    <m/>
    <n v="188.9688888888889"/>
    <m/>
    <m/>
    <m/>
    <m/>
    <m/>
    <m/>
    <m/>
    <m/>
    <n v="0"/>
    <n v="0"/>
    <n v="0"/>
    <n v="0"/>
    <n v="4271.7077777777777"/>
    <n v="4355.8022222222216"/>
  </r>
  <r>
    <x v="13"/>
    <s v="Midland College "/>
    <n v="226806"/>
    <x v="7"/>
    <s v="sem"/>
    <s v="sem"/>
    <n v="47032"/>
    <n v="46531"/>
    <n v="8986"/>
    <n v="9539"/>
    <n v="8283"/>
    <n v="9178"/>
    <n v="46261"/>
    <n v="46675"/>
    <n v="110562"/>
    <n v="10305"/>
    <n v="3685.4"/>
    <n v="111923"/>
    <n v="9865"/>
    <n v="3730.7666666666669"/>
    <n v="49736"/>
    <n v="50419"/>
    <n v="45679"/>
    <n v="48818"/>
    <n v="38062"/>
    <n v="30392"/>
    <n v="64755"/>
    <n v="51646"/>
    <n v="198232"/>
    <m/>
    <n v="220.25777777777779"/>
    <n v="181275"/>
    <m/>
    <n v="201.41666666666666"/>
    <m/>
    <m/>
    <m/>
    <m/>
    <m/>
    <m/>
    <m/>
    <m/>
    <n v="0"/>
    <n v="0"/>
    <n v="0"/>
    <n v="0"/>
    <n v="3905.6577777777779"/>
    <n v="3932.1833333333334"/>
  </r>
  <r>
    <x v="13"/>
    <s v="Mountain View College  (DCCCD)"/>
    <n v="226930"/>
    <x v="7"/>
    <s v="sem"/>
    <s v="sem"/>
    <n v="48314"/>
    <n v="47160"/>
    <n v="13777"/>
    <n v="16028"/>
    <n v="7674"/>
    <n v="7157"/>
    <n v="46923"/>
    <n v="46834"/>
    <n v="116688"/>
    <n v="6604"/>
    <n v="3889.6"/>
    <n v="117179"/>
    <n v="6036"/>
    <n v="3905.9666666666667"/>
    <n v="31233"/>
    <n v="37533"/>
    <n v="35963"/>
    <n v="39404"/>
    <n v="45904"/>
    <n v="29764"/>
    <n v="36853"/>
    <n v="50054"/>
    <n v="149953"/>
    <m/>
    <n v="166.61444444444444"/>
    <n v="156755"/>
    <m/>
    <n v="174.17222222222222"/>
    <m/>
    <m/>
    <m/>
    <m/>
    <m/>
    <m/>
    <m/>
    <m/>
    <n v="0"/>
    <n v="0"/>
    <n v="0"/>
    <n v="0"/>
    <n v="4056.2144444444443"/>
    <n v="4080.1388888888887"/>
  </r>
  <r>
    <x v="13"/>
    <s v="North Central Texas Community College"/>
    <n v="224110"/>
    <x v="7"/>
    <s v="sem"/>
    <s v="sem"/>
    <n v="60637"/>
    <n v="61383"/>
    <n v="16345"/>
    <n v="19389"/>
    <m/>
    <n v="0"/>
    <n v="64242"/>
    <n v="69853"/>
    <n v="141224"/>
    <n v="4019"/>
    <n v="4707.4666666666662"/>
    <n v="150625"/>
    <n v="7989"/>
    <n v="5020.833333333333"/>
    <n v="17662"/>
    <n v="8528"/>
    <n v="5467"/>
    <n v="11557"/>
    <n v="7962"/>
    <n v="8953"/>
    <n v="14444"/>
    <n v="23510"/>
    <n v="45535"/>
    <m/>
    <n v="50.594444444444441"/>
    <n v="52548"/>
    <m/>
    <n v="58.386666666666663"/>
    <m/>
    <m/>
    <m/>
    <m/>
    <m/>
    <m/>
    <m/>
    <m/>
    <n v="0"/>
    <n v="0"/>
    <n v="0"/>
    <n v="0"/>
    <n v="4758.0611111111111"/>
    <n v="5079.2199999999993"/>
  </r>
  <r>
    <x v="13"/>
    <s v="Odessa College "/>
    <n v="227304"/>
    <x v="7"/>
    <s v="sem"/>
    <s v="sem"/>
    <n v="36783"/>
    <n v="36714"/>
    <n v="5580"/>
    <n v="6511"/>
    <n v="3545"/>
    <n v="4747"/>
    <n v="37552"/>
    <n v="38791"/>
    <n v="83460"/>
    <n v="7132"/>
    <n v="2782"/>
    <n v="86763"/>
    <n v="8344"/>
    <n v="2892.1"/>
    <n v="61884"/>
    <n v="58109"/>
    <n v="50795"/>
    <n v="82846"/>
    <n v="62271"/>
    <n v="81785"/>
    <n v="70979"/>
    <n v="81177"/>
    <n v="245929"/>
    <m/>
    <n v="273.25444444444446"/>
    <n v="303917"/>
    <m/>
    <n v="337.68555555555554"/>
    <m/>
    <m/>
    <m/>
    <m/>
    <m/>
    <m/>
    <m/>
    <m/>
    <n v="0"/>
    <n v="0"/>
    <n v="0"/>
    <n v="0"/>
    <n v="3055.2544444444443"/>
    <n v="3229.7855555555552"/>
  </r>
  <r>
    <x v="13"/>
    <s v="Paris Junior College"/>
    <n v="227401"/>
    <x v="7"/>
    <s v="sem"/>
    <s v="sem"/>
    <n v="36149"/>
    <n v="37827"/>
    <n v="7328"/>
    <n v="7710"/>
    <n v="5006"/>
    <n v="5083"/>
    <n v="39397"/>
    <n v="42324"/>
    <n v="87880"/>
    <n v="5871"/>
    <n v="2929.3333333333335"/>
    <n v="92944"/>
    <n v="8390"/>
    <n v="3098.1333333333332"/>
    <n v="28874"/>
    <n v="13540"/>
    <n v="21612"/>
    <n v="28083"/>
    <n v="26139"/>
    <n v="24720"/>
    <n v="14321"/>
    <n v="19820"/>
    <n v="90946"/>
    <m/>
    <n v="101.05111111111111"/>
    <n v="86163"/>
    <m/>
    <n v="95.736666666666665"/>
    <m/>
    <m/>
    <m/>
    <m/>
    <m/>
    <m/>
    <m/>
    <m/>
    <n v="0"/>
    <n v="0"/>
    <n v="0"/>
    <n v="0"/>
    <n v="3030.3844444444444"/>
    <n v="3193.87"/>
  </r>
  <r>
    <x v="13"/>
    <s v="Southwest Texas Junior College "/>
    <n v="228316"/>
    <x v="7"/>
    <s v="sem"/>
    <s v="sem"/>
    <n v="39302"/>
    <n v="37925"/>
    <n v="8111"/>
    <n v="8372"/>
    <n v="3239"/>
    <n v="3620"/>
    <n v="43386"/>
    <n v="43253"/>
    <n v="94038"/>
    <n v="11206"/>
    <n v="3134.6"/>
    <n v="93170"/>
    <n v="12564"/>
    <n v="3105.6666666666665"/>
    <n v="34781"/>
    <n v="11895"/>
    <n v="27327"/>
    <n v="33433"/>
    <n v="27283"/>
    <n v="25356"/>
    <n v="21965"/>
    <n v="15276"/>
    <n v="111356"/>
    <m/>
    <n v="123.72888888888889"/>
    <n v="85960"/>
    <m/>
    <n v="95.511111111111106"/>
    <m/>
    <m/>
    <m/>
    <m/>
    <m/>
    <m/>
    <m/>
    <m/>
    <n v="0"/>
    <n v="0"/>
    <n v="0"/>
    <n v="0"/>
    <n v="3258.3288888888887"/>
    <n v="3201.1777777777775"/>
  </r>
  <r>
    <x v="13"/>
    <s v="Temple College "/>
    <n v="228608"/>
    <x v="7"/>
    <s v="sem"/>
    <s v="sem"/>
    <n v="36251"/>
    <n v="40573"/>
    <n v="9397"/>
    <n v="10959"/>
    <m/>
    <n v="0"/>
    <n v="44362"/>
    <n v="47788"/>
    <n v="90010"/>
    <n v="8188"/>
    <n v="3000.3333333333335"/>
    <n v="99320"/>
    <n v="10613"/>
    <n v="3310.6666666666665"/>
    <n v="30717"/>
    <n v="25081"/>
    <n v="24252"/>
    <n v="37240"/>
    <n v="28118"/>
    <n v="19193"/>
    <n v="28168"/>
    <n v="25037"/>
    <n v="111255"/>
    <m/>
    <n v="123.61666666666666"/>
    <n v="106551"/>
    <m/>
    <n v="118.39"/>
    <m/>
    <m/>
    <m/>
    <m/>
    <m/>
    <m/>
    <m/>
    <m/>
    <n v="0"/>
    <n v="0"/>
    <n v="0"/>
    <n v="0"/>
    <n v="3123.9500000000003"/>
    <n v="3429.0566666666664"/>
  </r>
  <r>
    <x v="13"/>
    <s v="Texarkana College "/>
    <n v="228699"/>
    <x v="7"/>
    <s v="sem"/>
    <s v="sem"/>
    <n v="32484"/>
    <n v="34480"/>
    <n v="9958"/>
    <n v="11132"/>
    <n v="2455"/>
    <n v="2291"/>
    <n v="39570"/>
    <n v="41762"/>
    <n v="84467"/>
    <n v="6309"/>
    <n v="2815.5666666666666"/>
    <n v="89665"/>
    <n v="8803"/>
    <n v="2988.8333333333335"/>
    <n v="103054"/>
    <n v="26592"/>
    <n v="95453"/>
    <n v="181522"/>
    <n v="103377"/>
    <n v="104136"/>
    <n v="114998"/>
    <n v="96631"/>
    <n v="416882"/>
    <m/>
    <n v="463.20222222222225"/>
    <n v="408881"/>
    <m/>
    <n v="454.3122222222222"/>
    <m/>
    <m/>
    <m/>
    <m/>
    <m/>
    <m/>
    <m/>
    <m/>
    <n v="0"/>
    <n v="0"/>
    <n v="0"/>
    <n v="0"/>
    <n v="3278.7688888888888"/>
    <n v="3443.1455555555558"/>
  </r>
  <r>
    <x v="13"/>
    <s v="Texas State Technical College-Harlingen "/>
    <n v="229319"/>
    <x v="7"/>
    <s v="sem"/>
    <s v="sem"/>
    <n v="36215"/>
    <n v="36572"/>
    <n v="23994"/>
    <n v="29524"/>
    <m/>
    <n v="0"/>
    <n v="44091"/>
    <n v="46369"/>
    <n v="104300"/>
    <n v="9761"/>
    <n v="3476.6666666666665"/>
    <n v="112465"/>
    <n v="14940"/>
    <n v="3748.8333333333335"/>
    <n v="70683"/>
    <n v="48048"/>
    <n v="68846"/>
    <n v="50176"/>
    <n v="39523"/>
    <n v="36111"/>
    <n v="41384"/>
    <n v="34126"/>
    <n v="220436"/>
    <m/>
    <n v="244.92888888888888"/>
    <n v="168461"/>
    <m/>
    <n v="187.17888888888888"/>
    <m/>
    <m/>
    <m/>
    <m/>
    <m/>
    <m/>
    <m/>
    <m/>
    <n v="0"/>
    <n v="0"/>
    <n v="0"/>
    <n v="0"/>
    <n v="3721.5955555555556"/>
    <n v="3936.0122222222226"/>
  </r>
  <r>
    <x v="13"/>
    <s v="Texas State Technical College-Waco"/>
    <n v="228680"/>
    <x v="7"/>
    <s v="sem"/>
    <s v="sem"/>
    <n v="44710"/>
    <n v="43385"/>
    <n v="28639"/>
    <n v="28846"/>
    <m/>
    <n v="0"/>
    <n v="49938"/>
    <n v="53229"/>
    <n v="123287"/>
    <n v="2609"/>
    <n v="4109.5666666666666"/>
    <n v="125460"/>
    <n v="5507"/>
    <n v="4182"/>
    <n v="25480"/>
    <n v="33193"/>
    <n v="12628"/>
    <n v="30207"/>
    <n v="13080"/>
    <n v="10606"/>
    <n v="27913"/>
    <n v="10968"/>
    <n v="79101"/>
    <m/>
    <n v="87.89"/>
    <n v="84974"/>
    <m/>
    <n v="94.415555555555557"/>
    <m/>
    <m/>
    <m/>
    <m/>
    <m/>
    <m/>
    <m/>
    <m/>
    <n v="0"/>
    <n v="0"/>
    <n v="0"/>
    <n v="0"/>
    <n v="4197.4566666666669"/>
    <n v="4276.4155555555553"/>
  </r>
  <r>
    <x v="13"/>
    <s v="Trinity Valley Community College"/>
    <n v="225308"/>
    <x v="7"/>
    <s v="sem"/>
    <s v="sem"/>
    <n v="53100"/>
    <n v="52993"/>
    <n v="14537"/>
    <n v="14283"/>
    <n v="9943"/>
    <n v="11096"/>
    <n v="53544"/>
    <n v="55693"/>
    <n v="131124"/>
    <n v="10238"/>
    <n v="4370.8"/>
    <n v="134065"/>
    <n v="10856"/>
    <n v="4468.833333333333"/>
    <n v="68834"/>
    <n v="61705"/>
    <n v="39498"/>
    <n v="47948"/>
    <n v="45607"/>
    <n v="42737"/>
    <n v="64956"/>
    <n v="44754"/>
    <n v="218895"/>
    <m/>
    <n v="243.21666666666667"/>
    <n v="197144"/>
    <m/>
    <n v="219.04888888888888"/>
    <m/>
    <m/>
    <m/>
    <m/>
    <m/>
    <m/>
    <m/>
    <m/>
    <n v="0"/>
    <n v="0"/>
    <n v="0"/>
    <n v="0"/>
    <n v="4614.0166666666664"/>
    <n v="4687.8822222222216"/>
  </r>
  <r>
    <x v="13"/>
    <s v="Vernon College "/>
    <n v="229504"/>
    <x v="7"/>
    <s v="sem"/>
    <s v="sem"/>
    <n v="24050"/>
    <n v="24036"/>
    <n v="3274"/>
    <n v="4052"/>
    <n v="5112"/>
    <n v="5547"/>
    <n v="23598"/>
    <n v="23848"/>
    <n v="56034"/>
    <n v="2802"/>
    <n v="1867.8"/>
    <n v="57483"/>
    <n v="5398"/>
    <n v="1916.1"/>
    <n v="61246"/>
    <n v="53251"/>
    <n v="35381"/>
    <n v="35604"/>
    <n v="24665"/>
    <n v="36109"/>
    <n v="40143"/>
    <n v="63028"/>
    <n v="161435"/>
    <m/>
    <n v="179.37222222222223"/>
    <n v="187992"/>
    <m/>
    <n v="208.88"/>
    <m/>
    <m/>
    <m/>
    <m/>
    <m/>
    <m/>
    <m/>
    <m/>
    <n v="0"/>
    <n v="0"/>
    <n v="0"/>
    <n v="0"/>
    <n v="2047.1722222222222"/>
    <n v="2124.98"/>
  </r>
  <r>
    <x v="13"/>
    <s v="Victoria College "/>
    <n v="229540"/>
    <x v="7"/>
    <s v="sem"/>
    <s v="sem"/>
    <n v="32122"/>
    <n v="31529"/>
    <n v="6547"/>
    <n v="6856"/>
    <n v="2098"/>
    <n v="2115"/>
    <n v="33515"/>
    <n v="33728"/>
    <n v="74282"/>
    <n v="3037"/>
    <n v="2476.0666666666666"/>
    <n v="74228"/>
    <n v="2867"/>
    <n v="2474.2666666666669"/>
    <n v="49128"/>
    <n v="41861"/>
    <n v="29436"/>
    <n v="36039"/>
    <n v="35174"/>
    <n v="57549"/>
    <n v="27787"/>
    <n v="53414"/>
    <n v="141525"/>
    <m/>
    <n v="157.25"/>
    <n v="188863"/>
    <m/>
    <n v="209.84777777777776"/>
    <m/>
    <m/>
    <m/>
    <m/>
    <m/>
    <m/>
    <m/>
    <m/>
    <n v="0"/>
    <n v="0"/>
    <n v="0"/>
    <n v="0"/>
    <n v="2633.3166666666666"/>
    <n v="2684.1144444444444"/>
  </r>
  <r>
    <x v="13"/>
    <s v="Weatherford College "/>
    <n v="229799"/>
    <x v="7"/>
    <s v="sem"/>
    <s v="sem"/>
    <n v="39045"/>
    <n v="38668"/>
    <n v="5844"/>
    <n v="6174"/>
    <n v="2788"/>
    <n v="3427"/>
    <n v="43324"/>
    <n v="45241"/>
    <n v="91001"/>
    <n v="2972"/>
    <n v="3033.3666666666668"/>
    <n v="93510"/>
    <n v="5461"/>
    <n v="3117"/>
    <n v="84163"/>
    <n v="23281"/>
    <n v="85792"/>
    <n v="24296"/>
    <n v="57159"/>
    <n v="24572"/>
    <n v="87219"/>
    <n v="40112"/>
    <n v="314333"/>
    <m/>
    <n v="349.25888888888886"/>
    <n v="112261"/>
    <m/>
    <n v="124.73444444444445"/>
    <m/>
    <m/>
    <m/>
    <m/>
    <m/>
    <m/>
    <m/>
    <m/>
    <n v="0"/>
    <n v="0"/>
    <n v="0"/>
    <n v="0"/>
    <n v="3382.6255555555558"/>
    <n v="3241.7344444444443"/>
  </r>
  <r>
    <x v="13"/>
    <s v="Wharton County Junior College "/>
    <n v="229841"/>
    <x v="7"/>
    <s v="sem"/>
    <s v="sem"/>
    <n v="51089"/>
    <n v="50540"/>
    <n v="9578"/>
    <n v="10405"/>
    <n v="5541"/>
    <n v="5452"/>
    <n v="54346"/>
    <n v="56027"/>
    <n v="120554"/>
    <n v="6989"/>
    <n v="4018.4666666666667"/>
    <n v="122424"/>
    <n v="8129"/>
    <n v="4080.8"/>
    <n v="4794"/>
    <n v="5774"/>
    <n v="5441"/>
    <n v="3482"/>
    <n v="10068"/>
    <n v="7076"/>
    <n v="6851"/>
    <n v="9395"/>
    <n v="27154"/>
    <m/>
    <n v="30.171111111111109"/>
    <n v="25727"/>
    <m/>
    <n v="28.585555555555555"/>
    <m/>
    <m/>
    <m/>
    <m/>
    <m/>
    <m/>
    <m/>
    <m/>
    <n v="0"/>
    <n v="0"/>
    <n v="0"/>
    <n v="0"/>
    <n v="4048.637777777778"/>
    <n v="4109.3855555555556"/>
  </r>
  <r>
    <x v="13"/>
    <s v="Clarendon College "/>
    <n v="223922"/>
    <x v="8"/>
    <s v="sem"/>
    <s v="sem"/>
    <n v="10645"/>
    <n v="10699"/>
    <n v="2219"/>
    <n v="1803"/>
    <n v="370"/>
    <n v="1016"/>
    <n v="11637"/>
    <n v="13381"/>
    <n v="24871"/>
    <n v="2771"/>
    <n v="829.0333333333333"/>
    <n v="26899"/>
    <n v="3204"/>
    <n v="896.63333333333333"/>
    <n v="1474"/>
    <n v="5000"/>
    <n v="591"/>
    <n v="3688"/>
    <n v="186"/>
    <n v="544"/>
    <n v="3290"/>
    <n v="3472"/>
    <n v="5541"/>
    <m/>
    <n v="6.1566666666666663"/>
    <n v="12704"/>
    <m/>
    <n v="14.115555555555556"/>
    <m/>
    <m/>
    <m/>
    <m/>
    <m/>
    <m/>
    <m/>
    <m/>
    <n v="0"/>
    <n v="0"/>
    <n v="0"/>
    <n v="0"/>
    <n v="835.18999999999994"/>
    <n v="910.74888888888893"/>
  </r>
  <r>
    <x v="13"/>
    <s v="Frank Phillips College "/>
    <n v="224891"/>
    <x v="8"/>
    <s v="sem"/>
    <s v="sem"/>
    <n v="11516"/>
    <n v="11563"/>
    <n v="1955"/>
    <n v="2008"/>
    <n v="780"/>
    <n v="756"/>
    <n v="11949"/>
    <n v="11408"/>
    <n v="26200"/>
    <n v="4785"/>
    <n v="873.33333333333337"/>
    <n v="25735"/>
    <n v="4798"/>
    <n v="857.83333333333337"/>
    <n v="43193"/>
    <n v="18845"/>
    <n v="34064"/>
    <n v="34349"/>
    <n v="22252"/>
    <n v="25379"/>
    <n v="29834"/>
    <n v="25422"/>
    <n v="129343"/>
    <m/>
    <n v="143.71444444444444"/>
    <n v="103995"/>
    <m/>
    <n v="115.55"/>
    <m/>
    <m/>
    <m/>
    <m/>
    <m/>
    <m/>
    <m/>
    <m/>
    <n v="0"/>
    <n v="0"/>
    <n v="0"/>
    <n v="0"/>
    <n v="1017.0477777777778"/>
    <n v="973.38333333333333"/>
  </r>
  <r>
    <x v="13"/>
    <s v="Galveston College "/>
    <n v="224961"/>
    <x v="8"/>
    <s v="sem"/>
    <s v="sem"/>
    <n v="18301"/>
    <n v="17074"/>
    <n v="5165"/>
    <n v="5350"/>
    <n v="1682"/>
    <n v="1655"/>
    <n v="16129"/>
    <n v="17237"/>
    <n v="41277"/>
    <n v="1497"/>
    <n v="1375.9"/>
    <n v="41316"/>
    <n v="2274"/>
    <n v="1377.2"/>
    <n v="13700"/>
    <n v="13253"/>
    <n v="4882"/>
    <n v="5535"/>
    <n v="7650"/>
    <n v="3350"/>
    <n v="12171"/>
    <n v="3840"/>
    <n v="38403"/>
    <m/>
    <n v="42.67"/>
    <n v="25978"/>
    <m/>
    <n v="28.864444444444445"/>
    <m/>
    <m/>
    <m/>
    <m/>
    <m/>
    <m/>
    <m/>
    <m/>
    <n v="0"/>
    <n v="0"/>
    <n v="0"/>
    <n v="0"/>
    <n v="1418.5700000000002"/>
    <n v="1406.0644444444445"/>
  </r>
  <r>
    <x v="13"/>
    <s v="Lamar State College-Orange"/>
    <n v="226107"/>
    <x v="8"/>
    <s v="sem"/>
    <s v="sem"/>
    <n v="17229"/>
    <n v="17643"/>
    <n v="4109"/>
    <n v="4179"/>
    <n v="1169"/>
    <n v="1424"/>
    <n v="18908"/>
    <n v="20118"/>
    <n v="41415"/>
    <n v="1773"/>
    <n v="1380.5"/>
    <n v="43364"/>
    <n v="2382"/>
    <n v="1445.4666666666667"/>
    <n v="4088"/>
    <n v="18826"/>
    <n v="2852"/>
    <n v="12088"/>
    <n v="27732"/>
    <n v="10198"/>
    <n v="13136"/>
    <n v="898"/>
    <n v="47808"/>
    <m/>
    <n v="53.12"/>
    <n v="42010"/>
    <m/>
    <n v="46.677777777777777"/>
    <m/>
    <m/>
    <m/>
    <m/>
    <m/>
    <m/>
    <m/>
    <m/>
    <n v="0"/>
    <n v="0"/>
    <n v="0"/>
    <n v="0"/>
    <n v="1433.62"/>
    <n v="1492.1444444444444"/>
  </r>
  <r>
    <x v="13"/>
    <s v="Lamar State College-Port Arthur"/>
    <n v="226116"/>
    <x v="8"/>
    <s v="sem"/>
    <s v="sem"/>
    <n v="19787"/>
    <n v="18514"/>
    <n v="2352"/>
    <n v="2239"/>
    <n v="3860"/>
    <n v="3428"/>
    <n v="20812"/>
    <n v="18132"/>
    <n v="46811"/>
    <n v="1995"/>
    <n v="1560.3666666666666"/>
    <n v="42313"/>
    <n v="2408"/>
    <n v="1410.4333333333334"/>
    <n v="81208"/>
    <n v="85364"/>
    <n v="68288"/>
    <n v="64544"/>
    <n v="95531"/>
    <n v="94796"/>
    <n v="66764"/>
    <n v="60903"/>
    <n v="311791"/>
    <m/>
    <n v="346.43444444444447"/>
    <n v="305607"/>
    <m/>
    <n v="339.56333333333333"/>
    <m/>
    <m/>
    <m/>
    <m/>
    <m/>
    <m/>
    <m/>
    <m/>
    <n v="0"/>
    <n v="0"/>
    <n v="0"/>
    <n v="0"/>
    <n v="1906.8011111111109"/>
    <n v="1749.9966666666667"/>
  </r>
  <r>
    <x v="13"/>
    <s v="Northeast Lakeview College (ACCD)"/>
    <m/>
    <x v="8"/>
    <s v="sem"/>
    <s v="sem"/>
    <m/>
    <n v="1527"/>
    <m/>
    <n v="763"/>
    <m/>
    <n v="689"/>
    <n v="895"/>
    <n v="3836"/>
    <n v="895"/>
    <n v="0"/>
    <n v="29.833333333333332"/>
    <n v="6815"/>
    <n v="13"/>
    <n v="227.16666666666666"/>
    <m/>
    <n v="0"/>
    <m/>
    <n v="0"/>
    <m/>
    <n v="0"/>
    <m/>
    <n v="0"/>
    <n v="0"/>
    <m/>
    <n v="0"/>
    <n v="0"/>
    <m/>
    <n v="0"/>
    <m/>
    <m/>
    <m/>
    <m/>
    <m/>
    <m/>
    <m/>
    <m/>
    <n v="0"/>
    <n v="0"/>
    <n v="0"/>
    <n v="0"/>
    <n v="29.833333333333332"/>
    <n v="227.16666666666666"/>
  </r>
  <r>
    <x v="13"/>
    <s v="Northeast Texas Community College "/>
    <n v="227225"/>
    <x v="8"/>
    <s v="sem"/>
    <s v="sem"/>
    <n v="21924"/>
    <n v="21364"/>
    <n v="5296"/>
    <n v="6416"/>
    <n v="2426"/>
    <n v="2581"/>
    <n v="22588"/>
    <n v="23640"/>
    <n v="52234"/>
    <n v="426"/>
    <n v="1741.1333333333334"/>
    <n v="54001"/>
    <n v="906"/>
    <n v="1800.0333333333333"/>
    <n v="8764"/>
    <n v="6844"/>
    <n v="14065"/>
    <n v="10808"/>
    <n v="5865"/>
    <n v="6062"/>
    <n v="3854"/>
    <n v="5709"/>
    <n v="32548"/>
    <m/>
    <n v="36.164444444444442"/>
    <n v="29423"/>
    <m/>
    <n v="32.69222222222222"/>
    <m/>
    <m/>
    <m/>
    <m/>
    <m/>
    <m/>
    <m/>
    <m/>
    <n v="0"/>
    <n v="0"/>
    <n v="0"/>
    <n v="0"/>
    <n v="1777.2977777777778"/>
    <n v="1832.7255555555555"/>
  </r>
  <r>
    <x v="13"/>
    <s v="Panola College"/>
    <n v="227386"/>
    <x v="8"/>
    <s v="sem"/>
    <s v="sem"/>
    <n v="17158"/>
    <n v="17305"/>
    <n v="3818"/>
    <n v="3948"/>
    <n v="1263"/>
    <n v="1187"/>
    <n v="18289"/>
    <n v="19200"/>
    <n v="40528"/>
    <n v="3178"/>
    <n v="1350.9333333333334"/>
    <n v="41640"/>
    <n v="3202"/>
    <n v="1388"/>
    <n v="11649"/>
    <n v="6770"/>
    <n v="13729"/>
    <n v="11371"/>
    <n v="11131"/>
    <n v="12569"/>
    <n v="9289"/>
    <n v="17430"/>
    <n v="45798"/>
    <m/>
    <n v="50.886666666666663"/>
    <n v="48140"/>
    <m/>
    <n v="53.488888888888887"/>
    <m/>
    <m/>
    <m/>
    <m/>
    <m/>
    <m/>
    <m/>
    <m/>
    <n v="0"/>
    <n v="0"/>
    <n v="0"/>
    <n v="0"/>
    <n v="1401.8200000000002"/>
    <n v="1441.4888888888888"/>
  </r>
  <r>
    <x v="13"/>
    <s v="Ranger College "/>
    <n v="227687"/>
    <x v="8"/>
    <s v="sem"/>
    <s v="sem"/>
    <n v="7328"/>
    <n v="7283"/>
    <n v="1399"/>
    <n v="1170"/>
    <n v="585"/>
    <n v="396"/>
    <n v="9389"/>
    <n v="10033"/>
    <n v="18701"/>
    <n v="2939"/>
    <n v="623.36666666666667"/>
    <n v="18882"/>
    <n v="2816"/>
    <n v="629.4"/>
    <n v="2741"/>
    <n v="215"/>
    <n v="1564"/>
    <n v="2356"/>
    <n v="154"/>
    <n v="1764"/>
    <n v="2941"/>
    <n v="161"/>
    <n v="7400"/>
    <m/>
    <n v="8.2222222222222214"/>
    <n v="4496"/>
    <m/>
    <n v="4.9955555555555557"/>
    <m/>
    <m/>
    <m/>
    <m/>
    <m/>
    <m/>
    <m/>
    <m/>
    <n v="0"/>
    <n v="0"/>
    <n v="0"/>
    <n v="0"/>
    <n v="631.58888888888885"/>
    <n v="634.39555555555557"/>
  </r>
  <r>
    <x v="13"/>
    <s v="Southwest Collegiate Institute for the Deaf (HCJCD)"/>
    <n v="382911"/>
    <x v="8"/>
    <s v="sem"/>
    <s v="sem"/>
    <n v="995"/>
    <n v="1011"/>
    <m/>
    <n v="0"/>
    <m/>
    <n v="0"/>
    <n v="1186"/>
    <n v="1072"/>
    <n v="2181"/>
    <n v="0"/>
    <n v="72.7"/>
    <n v="2083"/>
    <n v="0"/>
    <n v="69.433333333333337"/>
    <m/>
    <n v="0"/>
    <m/>
    <n v="0"/>
    <m/>
    <n v="0"/>
    <m/>
    <n v="0"/>
    <n v="0"/>
    <m/>
    <n v="0"/>
    <n v="0"/>
    <m/>
    <n v="0"/>
    <m/>
    <m/>
    <m/>
    <m/>
    <m/>
    <m/>
    <m/>
    <m/>
    <n v="0"/>
    <n v="0"/>
    <n v="0"/>
    <n v="0"/>
    <n v="72.7"/>
    <n v="69.433333333333337"/>
  </r>
  <r>
    <x v="13"/>
    <s v="Texas State Technical College-Marshall"/>
    <n v="408394"/>
    <x v="8"/>
    <s v="sem"/>
    <s v="sem"/>
    <n v="5228"/>
    <n v="6166"/>
    <n v="3034"/>
    <n v="4064"/>
    <m/>
    <n v="0"/>
    <n v="6381"/>
    <n v="7644"/>
    <n v="14643"/>
    <n v="1410"/>
    <n v="488.1"/>
    <n v="17874"/>
    <n v="2520"/>
    <n v="595.79999999999995"/>
    <n v="3716"/>
    <n v="7512"/>
    <n v="7200"/>
    <n v="10156"/>
    <n v="4823"/>
    <n v="5532"/>
    <n v="4646"/>
    <n v="6310"/>
    <n v="20385"/>
    <m/>
    <n v="22.65"/>
    <n v="29510"/>
    <m/>
    <n v="32.788888888888891"/>
    <m/>
    <m/>
    <m/>
    <m/>
    <m/>
    <m/>
    <m/>
    <m/>
    <n v="0"/>
    <n v="0"/>
    <n v="0"/>
    <n v="0"/>
    <n v="510.75"/>
    <n v="628.58888888888885"/>
  </r>
  <r>
    <x v="13"/>
    <s v="Texas State Technical College-West Texas"/>
    <n v="229328"/>
    <x v="8"/>
    <s v="sem"/>
    <s v="sem"/>
    <n v="14441"/>
    <n v="14505"/>
    <n v="11701"/>
    <n v="12792"/>
    <m/>
    <n v="0"/>
    <n v="12152"/>
    <n v="15670"/>
    <n v="38294"/>
    <n v="2462"/>
    <n v="1276.4666666666667"/>
    <n v="42967"/>
    <n v="3975"/>
    <n v="1432.2333333333333"/>
    <n v="92384"/>
    <n v="56447"/>
    <n v="124064"/>
    <n v="112373"/>
    <n v="69034"/>
    <n v="107082"/>
    <n v="55272"/>
    <n v="21241"/>
    <n v="340754"/>
    <m/>
    <n v="378.61555555555555"/>
    <n v="297143"/>
    <m/>
    <n v="330.1588888888889"/>
    <m/>
    <m/>
    <m/>
    <m/>
    <m/>
    <m/>
    <m/>
    <m/>
    <n v="0"/>
    <n v="0"/>
    <n v="0"/>
    <n v="0"/>
    <n v="1655.0822222222223"/>
    <n v="1762.3922222222222"/>
  </r>
  <r>
    <x v="13"/>
    <s v="Western Texas College "/>
    <n v="229832"/>
    <x v="8"/>
    <s v="sem"/>
    <s v="sem"/>
    <n v="15113"/>
    <n v="14873"/>
    <n v="7085"/>
    <n v="8903"/>
    <n v="1489"/>
    <n v="2233"/>
    <n v="15020"/>
    <n v="15275"/>
    <n v="38707"/>
    <n v="2986"/>
    <n v="1290.2333333333333"/>
    <n v="41284"/>
    <n v="3416"/>
    <n v="1376.1333333333334"/>
    <n v="15724"/>
    <n v="17492"/>
    <n v="16409"/>
    <n v="21182"/>
    <n v="4968"/>
    <n v="9357"/>
    <n v="19324"/>
    <n v="92301"/>
    <n v="56425"/>
    <m/>
    <n v="62.694444444444443"/>
    <n v="140332"/>
    <m/>
    <n v="155.92444444444445"/>
    <m/>
    <m/>
    <m/>
    <m/>
    <m/>
    <m/>
    <m/>
    <m/>
    <n v="0"/>
    <n v="0"/>
    <n v="0"/>
    <n v="0"/>
    <n v="1352.9277777777777"/>
    <n v="1532.0577777777778"/>
  </r>
  <r>
    <x v="13"/>
    <s v="Alamo Community College District (ACCD)"/>
    <m/>
    <x v="14"/>
    <s v="sem"/>
    <s v="sem"/>
    <n v="416125"/>
    <n v="420371"/>
    <n v="95250"/>
    <n v="113775"/>
    <n v="43039"/>
    <n v="32653"/>
    <n v="428192"/>
    <n v="433344"/>
    <n v="982606"/>
    <n v="49040"/>
    <n v="32753.533333333333"/>
    <n v="1000143"/>
    <n v="59184"/>
    <n v="33338.1"/>
    <n v="170650"/>
    <n v="206008"/>
    <n v="136761"/>
    <n v="147099"/>
    <n v="185859"/>
    <n v="193408"/>
    <n v="243210"/>
    <n v="297098"/>
    <n v="736480"/>
    <m/>
    <n v="818.31111111111113"/>
    <n v="843613"/>
    <m/>
    <n v="937.34777777777776"/>
    <m/>
    <m/>
    <m/>
    <m/>
    <m/>
    <m/>
    <m/>
    <m/>
    <n v="0"/>
    <n v="0"/>
    <n v="0"/>
    <n v="0"/>
    <n v="33571.844444444447"/>
    <n v="34275.447777777779"/>
  </r>
  <r>
    <x v="13"/>
    <s v="Dallas County Community College District (DCCD)"/>
    <m/>
    <x v="14"/>
    <s v="sem"/>
    <s v="sem"/>
    <n v="338589"/>
    <n v="329693"/>
    <n v="111683"/>
    <n v="124144"/>
    <n v="58150"/>
    <n v="61311"/>
    <n v="307381"/>
    <n v="316483"/>
    <n v="815803"/>
    <n v="40319"/>
    <n v="27193.433333333334"/>
    <n v="831631"/>
    <n v="48160"/>
    <n v="27721.033333333333"/>
    <n v="472384"/>
    <n v="400320"/>
    <n v="420081"/>
    <n v="390592"/>
    <n v="420072"/>
    <n v="388149"/>
    <n v="584550"/>
    <n v="560720"/>
    <n v="1897087"/>
    <m/>
    <n v="2107.8744444444446"/>
    <n v="1739781"/>
    <m/>
    <n v="1933.09"/>
    <m/>
    <m/>
    <m/>
    <m/>
    <m/>
    <m/>
    <m/>
    <m/>
    <n v="0"/>
    <n v="0"/>
    <n v="0"/>
    <n v="0"/>
    <n v="29301.30777777778"/>
    <n v="29654.123333333333"/>
  </r>
  <r>
    <x v="13"/>
    <s v="Dallas County Community College District (DCCD)"/>
    <m/>
    <x v="15"/>
    <s v="sem"/>
    <s v="sem"/>
    <n v="136405"/>
    <n v="131588"/>
    <n v="35228"/>
    <n v="44686"/>
    <n v="20476"/>
    <n v="21657"/>
    <n v="130705"/>
    <n v="135438"/>
    <n v="322814"/>
    <n v="14379"/>
    <n v="10760.466666666667"/>
    <n v="333369"/>
    <n v="18261"/>
    <n v="11112.3"/>
    <n v="291521"/>
    <n v="295730"/>
    <n v="301755"/>
    <n v="391747"/>
    <n v="322504"/>
    <n v="427626"/>
    <n v="371443"/>
    <n v="505346"/>
    <n v="1287223"/>
    <m/>
    <n v="1430.2477777777779"/>
    <n v="1620449"/>
    <m/>
    <n v="1800.4988888888888"/>
    <m/>
    <m/>
    <m/>
    <m/>
    <m/>
    <m/>
    <m/>
    <m/>
    <n v="0"/>
    <n v="0"/>
    <n v="0"/>
    <n v="0"/>
    <n v="12190.714444444446"/>
    <n v="12912.798888888889"/>
  </r>
  <r>
    <x v="13"/>
    <s v="Howard County Community/Junior College District (HCJCD)"/>
    <m/>
    <x v="15"/>
    <s v="sem"/>
    <s v="sem"/>
    <n v="24569"/>
    <n v="26299"/>
    <n v="1076"/>
    <n v="4842"/>
    <n v="5185"/>
    <n v="2238"/>
    <n v="27711"/>
    <n v="28526"/>
    <n v="58541"/>
    <n v="2326"/>
    <n v="1951.3666666666666"/>
    <n v="61905"/>
    <n v="11052"/>
    <n v="2063.5"/>
    <n v="221114"/>
    <n v="215791"/>
    <n v="240571"/>
    <n v="255640"/>
    <n v="267985"/>
    <n v="244486"/>
    <n v="230966"/>
    <n v="249635"/>
    <n v="960636"/>
    <m/>
    <n v="1067.3733333333332"/>
    <n v="965552"/>
    <m/>
    <n v="1072.8355555555556"/>
    <m/>
    <m/>
    <m/>
    <m/>
    <m/>
    <m/>
    <m/>
    <m/>
    <n v="0"/>
    <n v="0"/>
    <n v="0"/>
    <n v="0"/>
    <n v="3018.74"/>
    <n v="3136.3355555555554"/>
  </r>
  <r>
    <x v="13"/>
    <s v="Alamo Community College District (ACCD)"/>
    <m/>
    <x v="16"/>
    <s v="sem"/>
    <s v="sem"/>
    <n v="0"/>
    <n v="1527"/>
    <n v="0"/>
    <n v="763"/>
    <n v="0"/>
    <n v="689"/>
    <n v="895"/>
    <n v="3836"/>
    <n v="895"/>
    <n v="0"/>
    <n v="29.833333333333332"/>
    <n v="6815"/>
    <n v="13"/>
    <n v="227.16666666666666"/>
    <n v="0"/>
    <n v="0"/>
    <n v="0"/>
    <n v="0"/>
    <n v="0"/>
    <n v="0"/>
    <n v="0"/>
    <n v="0"/>
    <n v="0"/>
    <m/>
    <n v="0"/>
    <n v="0"/>
    <m/>
    <n v="0"/>
    <m/>
    <m/>
    <m/>
    <m/>
    <m/>
    <m/>
    <m/>
    <m/>
    <n v="0"/>
    <n v="0"/>
    <n v="0"/>
    <n v="0"/>
    <n v="29.833333333333332"/>
    <n v="227.16666666666666"/>
  </r>
  <r>
    <x v="13"/>
    <s v="Howard County Community/Junior College District (HCJCD)"/>
    <m/>
    <x v="16"/>
    <s v="sem"/>
    <s v="sem"/>
    <n v="995"/>
    <n v="1011"/>
    <n v="0"/>
    <n v="0"/>
    <n v="0"/>
    <n v="0"/>
    <n v="1186"/>
    <n v="1072"/>
    <n v="2181"/>
    <n v="0"/>
    <n v="72.7"/>
    <n v="2083"/>
    <n v="0"/>
    <n v="69.433333333333337"/>
    <n v="0"/>
    <n v="0"/>
    <n v="0"/>
    <n v="0"/>
    <n v="0"/>
    <n v="0"/>
    <n v="0"/>
    <n v="0"/>
    <n v="0"/>
    <m/>
    <n v="0"/>
    <n v="0"/>
    <m/>
    <n v="0"/>
    <m/>
    <m/>
    <m/>
    <m/>
    <m/>
    <m/>
    <m/>
    <m/>
    <n v="0"/>
    <n v="0"/>
    <n v="0"/>
    <n v="0"/>
    <n v="72.7"/>
    <n v="69.433333333333337"/>
  </r>
  <r>
    <x v="13"/>
    <s v="Alamo Community College District (ACCD)"/>
    <m/>
    <x v="17"/>
    <s v="sem"/>
    <s v="sem"/>
    <n v="416125"/>
    <n v="421898"/>
    <n v="95250"/>
    <n v="114538"/>
    <n v="43039"/>
    <n v="33342"/>
    <n v="429087"/>
    <n v="437180"/>
    <n v="983501"/>
    <n v="49040"/>
    <n v="32783.366666666669"/>
    <n v="1006958"/>
    <n v="59197"/>
    <n v="33565.26666666667"/>
    <n v="170650"/>
    <n v="206008"/>
    <n v="136761"/>
    <n v="147099"/>
    <n v="185859"/>
    <n v="193408"/>
    <n v="243210"/>
    <n v="297098"/>
    <n v="736480"/>
    <m/>
    <n v="818.31111111111113"/>
    <n v="843613"/>
    <m/>
    <n v="937.34777777777776"/>
    <m/>
    <m/>
    <m/>
    <m/>
    <m/>
    <m/>
    <m/>
    <m/>
    <n v="0"/>
    <n v="0"/>
    <n v="0"/>
    <n v="0"/>
    <n v="33601.677777777782"/>
    <n v="34502.614444444451"/>
  </r>
  <r>
    <x v="13"/>
    <s v="Dallas County Community College District (DCCD)"/>
    <m/>
    <x v="17"/>
    <s v="sem"/>
    <s v="sem"/>
    <n v="474994"/>
    <n v="461281"/>
    <n v="146911"/>
    <n v="168830"/>
    <n v="78626"/>
    <n v="82968"/>
    <n v="438086"/>
    <n v="451921"/>
    <n v="1138617"/>
    <n v="54698"/>
    <n v="37953.9"/>
    <n v="1165000"/>
    <n v="66421"/>
    <n v="38833.333333333336"/>
    <n v="763905"/>
    <n v="696050"/>
    <n v="721836"/>
    <n v="782339"/>
    <n v="742576"/>
    <n v="815775"/>
    <n v="955993"/>
    <n v="1066066"/>
    <n v="3184310"/>
    <m/>
    <n v="3538.1222222222223"/>
    <n v="3360230"/>
    <m/>
    <n v="3733.588888888889"/>
    <m/>
    <m/>
    <m/>
    <m/>
    <m/>
    <m/>
    <m/>
    <m/>
    <n v="0"/>
    <n v="0"/>
    <n v="0"/>
    <n v="0"/>
    <n v="41492.022222222222"/>
    <n v="42566.922222222223"/>
  </r>
  <r>
    <x v="13"/>
    <s v="Howard County Community/Junior College District (HCJCD)"/>
    <m/>
    <x v="17"/>
    <s v="sem"/>
    <s v="sem"/>
    <n v="25564"/>
    <n v="27310"/>
    <n v="1076"/>
    <n v="4842"/>
    <n v="5185"/>
    <n v="2238"/>
    <n v="28897"/>
    <n v="29598"/>
    <n v="60722"/>
    <n v="2326"/>
    <n v="2024.0666666666666"/>
    <n v="63988"/>
    <n v="11052"/>
    <n v="2132.9333333333334"/>
    <n v="221114"/>
    <n v="215791"/>
    <n v="240571"/>
    <n v="255640"/>
    <n v="267985"/>
    <n v="244486"/>
    <n v="230966"/>
    <n v="249635"/>
    <n v="960636"/>
    <m/>
    <n v="1067.3733333333332"/>
    <n v="965552"/>
    <m/>
    <n v="1072.8355555555556"/>
    <m/>
    <m/>
    <m/>
    <m/>
    <m/>
    <m/>
    <m/>
    <m/>
    <n v="0"/>
    <n v="0"/>
    <n v="0"/>
    <n v="0"/>
    <n v="3091.4399999999996"/>
    <n v="3205.7688888888888"/>
  </r>
  <r>
    <x v="14"/>
    <s v="George Mason University "/>
    <n v="232186"/>
    <x v="0"/>
    <s v="sem"/>
    <s v="sem"/>
    <m/>
    <m/>
    <n v="219914"/>
    <n v="220129"/>
    <n v="43298"/>
    <n v="44618"/>
    <n v="232256"/>
    <n v="236127"/>
    <n v="495468"/>
    <m/>
    <n v="16515.599999999999"/>
    <n v="500874"/>
    <n v="554"/>
    <n v="16695.8"/>
    <m/>
    <m/>
    <m/>
    <m/>
    <m/>
    <m/>
    <m/>
    <m/>
    <n v="0"/>
    <m/>
    <n v="0"/>
    <n v="0"/>
    <m/>
    <n v="0"/>
    <m/>
    <m/>
    <n v="66784"/>
    <n v="68988.5"/>
    <n v="20308.5"/>
    <n v="20129.5"/>
    <n v="68325"/>
    <n v="69080"/>
    <n v="155417.5"/>
    <n v="6475.729166666667"/>
    <n v="158198"/>
    <n v="6591.583333333333"/>
    <n v="22991.329166666666"/>
    <n v="23287.383333333331"/>
  </r>
  <r>
    <x v="14"/>
    <s v="University of Virginia"/>
    <n v="234076"/>
    <x v="0"/>
    <s v="sem"/>
    <s v="sem"/>
    <m/>
    <m/>
    <n v="207940.5"/>
    <n v="213191"/>
    <n v="28418"/>
    <n v="28682"/>
    <n v="216697"/>
    <n v="219549"/>
    <n v="453055.5"/>
    <m/>
    <n v="15101.85"/>
    <n v="461422"/>
    <m/>
    <n v="15380.733333333334"/>
    <m/>
    <m/>
    <m/>
    <m/>
    <m/>
    <m/>
    <m/>
    <m/>
    <n v="0"/>
    <m/>
    <n v="0"/>
    <n v="0"/>
    <m/>
    <n v="0"/>
    <m/>
    <m/>
    <n v="91510"/>
    <n v="92984"/>
    <n v="24095.5"/>
    <n v="22639"/>
    <n v="84793"/>
    <n v="85698"/>
    <n v="200398.5"/>
    <n v="8349.9375"/>
    <n v="201321"/>
    <n v="8388.375"/>
    <n v="23451.787499999999"/>
    <n v="23769.108333333334"/>
  </r>
  <r>
    <x v="14"/>
    <s v="Virginia Tech "/>
    <n v="233921"/>
    <x v="0"/>
    <s v="sem"/>
    <s v="sem"/>
    <m/>
    <m/>
    <n v="318571"/>
    <n v="330036"/>
    <n v="34904"/>
    <n v="35927"/>
    <n v="345995"/>
    <n v="358013"/>
    <n v="699470"/>
    <m/>
    <n v="23315.666666666668"/>
    <n v="723976"/>
    <m/>
    <n v="24132.533333333333"/>
    <m/>
    <m/>
    <m/>
    <m/>
    <m/>
    <m/>
    <m/>
    <m/>
    <n v="0"/>
    <m/>
    <n v="0"/>
    <n v="0"/>
    <m/>
    <n v="0"/>
    <m/>
    <m/>
    <n v="57425"/>
    <n v="60456"/>
    <n v="8571"/>
    <n v="8386"/>
    <n v="64617"/>
    <n v="65922"/>
    <n v="130613"/>
    <n v="5442.208333333333"/>
    <n v="134764"/>
    <n v="5615.166666666667"/>
    <n v="28757.875"/>
    <n v="29747.7"/>
  </r>
  <r>
    <x v="14"/>
    <s v="College of William &amp; Mary"/>
    <n v="231624"/>
    <x v="1"/>
    <s v="sem"/>
    <s v="sem"/>
    <m/>
    <m/>
    <n v="79730"/>
    <n v="79503.5"/>
    <n v="5222"/>
    <n v="5379"/>
    <n v="83718"/>
    <n v="84133"/>
    <n v="168670"/>
    <m/>
    <n v="5622.333333333333"/>
    <n v="169015.5"/>
    <m/>
    <n v="5633.85"/>
    <m/>
    <m/>
    <m/>
    <m/>
    <m/>
    <m/>
    <m/>
    <m/>
    <n v="0"/>
    <m/>
    <n v="0"/>
    <n v="0"/>
    <m/>
    <n v="0"/>
    <m/>
    <m/>
    <n v="22369"/>
    <n v="22732.5"/>
    <n v="5434.5"/>
    <n v="5343.5"/>
    <n v="23147"/>
    <n v="23617"/>
    <n v="50950.5"/>
    <n v="2122.9375"/>
    <n v="51693"/>
    <n v="2153.875"/>
    <n v="7745.270833333333"/>
    <n v="7787.7250000000004"/>
  </r>
  <r>
    <x v="14"/>
    <s v="Old Dominion University "/>
    <n v="232982"/>
    <x v="1"/>
    <s v="sem"/>
    <s v="sem"/>
    <m/>
    <m/>
    <n v="169133.5"/>
    <n v="179804.5"/>
    <n v="42402"/>
    <n v="44342"/>
    <n v="189802"/>
    <n v="205704"/>
    <n v="401337.5"/>
    <n v="90"/>
    <n v="13377.916666666666"/>
    <n v="429850.5"/>
    <n v="136"/>
    <n v="14328.35"/>
    <m/>
    <m/>
    <m/>
    <m/>
    <m/>
    <m/>
    <m/>
    <m/>
    <n v="0"/>
    <m/>
    <n v="0"/>
    <n v="0"/>
    <m/>
    <n v="0"/>
    <m/>
    <m/>
    <n v="30256"/>
    <n v="30130"/>
    <n v="18355"/>
    <n v="17989"/>
    <n v="35222"/>
    <n v="33552"/>
    <n v="83833"/>
    <n v="3493.0416666666665"/>
    <n v="81671"/>
    <n v="3402.9583333333335"/>
    <n v="16870.958333333332"/>
    <n v="17731.308333333334"/>
  </r>
  <r>
    <x v="14"/>
    <s v="Virginia Commonwealth University  "/>
    <n v="234030"/>
    <x v="1"/>
    <s v="sem"/>
    <s v="sem"/>
    <m/>
    <m/>
    <n v="254614.5"/>
    <n v="268479.5"/>
    <n v="41453"/>
    <n v="42855.5"/>
    <n v="282975"/>
    <n v="295423"/>
    <n v="579042.5"/>
    <n v="2376"/>
    <n v="19301.416666666668"/>
    <n v="606758"/>
    <n v="2785"/>
    <n v="20225.266666666666"/>
    <m/>
    <m/>
    <m/>
    <m/>
    <m/>
    <m/>
    <m/>
    <m/>
    <n v="0"/>
    <m/>
    <n v="0"/>
    <n v="0"/>
    <m/>
    <n v="0"/>
    <m/>
    <m/>
    <n v="58100"/>
    <n v="61235.5"/>
    <n v="20757"/>
    <n v="17136.5"/>
    <n v="66019"/>
    <n v="67012"/>
    <n v="144876"/>
    <n v="6036.5"/>
    <n v="145384"/>
    <n v="6057.666666666667"/>
    <n v="25337.916666666668"/>
    <n v="26282.933333333334"/>
  </r>
  <r>
    <x v="14"/>
    <s v="James Madison University  "/>
    <n v="232423"/>
    <x v="2"/>
    <s v="sem"/>
    <s v="sem"/>
    <m/>
    <m/>
    <n v="221432"/>
    <n v="226989"/>
    <n v="24445"/>
    <n v="24679"/>
    <n v="240208"/>
    <n v="248014"/>
    <n v="486085"/>
    <n v="1408"/>
    <n v="16202.833333333334"/>
    <n v="499682"/>
    <n v="1026"/>
    <n v="16656.066666666666"/>
    <m/>
    <m/>
    <m/>
    <m/>
    <m/>
    <m/>
    <m/>
    <m/>
    <n v="0"/>
    <m/>
    <n v="0"/>
    <n v="0"/>
    <m/>
    <n v="0"/>
    <m/>
    <m/>
    <n v="9972"/>
    <n v="10907"/>
    <n v="6396"/>
    <n v="6822"/>
    <n v="12137"/>
    <n v="12420"/>
    <n v="28505"/>
    <n v="1187.7083333333333"/>
    <n v="30149"/>
    <n v="1256.2083333333333"/>
    <n v="17390.541666666668"/>
    <n v="17912.274999999998"/>
  </r>
  <r>
    <x v="14"/>
    <s v="Radford University"/>
    <n v="233277"/>
    <x v="2"/>
    <s v="sem"/>
    <s v="sem"/>
    <m/>
    <m/>
    <n v="108695"/>
    <n v="108160"/>
    <n v="13846"/>
    <n v="13292"/>
    <n v="117585"/>
    <n v="119539"/>
    <n v="240126"/>
    <n v="8"/>
    <n v="8004.2"/>
    <n v="240991"/>
    <n v="0"/>
    <n v="8033.0333333333338"/>
    <m/>
    <m/>
    <m/>
    <m/>
    <m/>
    <m/>
    <m/>
    <m/>
    <n v="0"/>
    <m/>
    <n v="0"/>
    <n v="0"/>
    <m/>
    <n v="0"/>
    <m/>
    <m/>
    <n v="7787"/>
    <n v="7811"/>
    <n v="4440"/>
    <n v="4089"/>
    <n v="8101"/>
    <n v="7488"/>
    <n v="20328"/>
    <n v="847"/>
    <n v="19388"/>
    <n v="807.83333333333337"/>
    <n v="8851.2000000000007"/>
    <n v="8840.8666666666668"/>
  </r>
  <r>
    <x v="14"/>
    <s v="Christopher Newport University"/>
    <n v="231712"/>
    <x v="3"/>
    <s v="sem"/>
    <s v="sem"/>
    <m/>
    <m/>
    <n v="61747"/>
    <n v="64515"/>
    <n v="3795"/>
    <n v="3467"/>
    <n v="67723"/>
    <n v="69310"/>
    <n v="133265"/>
    <n v="29"/>
    <n v="4442.166666666667"/>
    <n v="137292"/>
    <n v="94"/>
    <n v="4576.3999999999996"/>
    <m/>
    <m/>
    <m/>
    <m/>
    <m/>
    <m/>
    <m/>
    <m/>
    <n v="0"/>
    <m/>
    <n v="0"/>
    <n v="0"/>
    <m/>
    <n v="0"/>
    <m/>
    <m/>
    <n v="1150"/>
    <n v="1122"/>
    <n v="772"/>
    <n v="836"/>
    <n v="1179"/>
    <n v="1066"/>
    <n v="3101"/>
    <n v="129.20833333333334"/>
    <n v="3024"/>
    <n v="126"/>
    <n v="4571.375"/>
    <n v="4702.3999999999996"/>
  </r>
  <r>
    <x v="14"/>
    <s v="Norfolk State University "/>
    <n v="232937"/>
    <x v="3"/>
    <s v="sem"/>
    <s v="sem"/>
    <m/>
    <m/>
    <n v="61357"/>
    <n v="63301"/>
    <n v="7212"/>
    <n v="7578"/>
    <n v="68044"/>
    <n v="72561"/>
    <n v="136613"/>
    <n v="120"/>
    <n v="4553.7666666666664"/>
    <n v="143440"/>
    <n v="39"/>
    <n v="4781.333333333333"/>
    <m/>
    <m/>
    <m/>
    <m/>
    <m/>
    <m/>
    <m/>
    <m/>
    <n v="0"/>
    <m/>
    <n v="0"/>
    <n v="0"/>
    <m/>
    <n v="0"/>
    <m/>
    <m/>
    <n v="5607"/>
    <n v="5628"/>
    <n v="1419"/>
    <n v="1490"/>
    <n v="5607"/>
    <n v="5225"/>
    <n v="12633"/>
    <n v="526.375"/>
    <n v="12343"/>
    <n v="514.29166666666663"/>
    <n v="5080.1416666666664"/>
    <n v="5295.625"/>
  </r>
  <r>
    <x v="14"/>
    <s v="Virginia State University "/>
    <n v="234155"/>
    <x v="3"/>
    <s v="sem"/>
    <s v="sem"/>
    <m/>
    <m/>
    <n v="62329"/>
    <n v="56311"/>
    <n v="5547"/>
    <n v="4202"/>
    <n v="63085"/>
    <n v="64940"/>
    <n v="130961"/>
    <m/>
    <n v="4365.3666666666668"/>
    <n v="125453"/>
    <m/>
    <n v="4181.7666666666664"/>
    <m/>
    <m/>
    <m/>
    <m/>
    <m/>
    <m/>
    <m/>
    <m/>
    <n v="0"/>
    <m/>
    <n v="0"/>
    <n v="0"/>
    <m/>
    <n v="0"/>
    <m/>
    <m/>
    <n v="3167"/>
    <n v="2866"/>
    <n v="1512"/>
    <n v="1280"/>
    <n v="3141"/>
    <n v="3434"/>
    <n v="7820"/>
    <n v="325.83333333333331"/>
    <n v="7580"/>
    <n v="315.83333333333331"/>
    <n v="4691.2"/>
    <n v="4497.5999999999995"/>
  </r>
  <r>
    <x v="14"/>
    <s v="Longwood University "/>
    <n v="232566"/>
    <x v="4"/>
    <s v="sem"/>
    <s v="sem"/>
    <m/>
    <m/>
    <n v="51551"/>
    <n v="51535"/>
    <n v="7328"/>
    <n v="7528"/>
    <n v="57535"/>
    <n v="57950"/>
    <n v="116414"/>
    <n v="35"/>
    <n v="3880.4666666666667"/>
    <n v="117013"/>
    <n v="4"/>
    <n v="3900.4333333333334"/>
    <m/>
    <m/>
    <m/>
    <m/>
    <m/>
    <m/>
    <m/>
    <m/>
    <n v="0"/>
    <m/>
    <n v="0"/>
    <n v="0"/>
    <m/>
    <n v="0"/>
    <m/>
    <m/>
    <n v="2832"/>
    <n v="2601"/>
    <n v="2397"/>
    <n v="3038"/>
    <n v="3238"/>
    <n v="3231"/>
    <n v="8467"/>
    <n v="352.79166666666669"/>
    <n v="8870"/>
    <n v="369.58333333333331"/>
    <n v="4233.2583333333332"/>
    <n v="4270.0166666666664"/>
  </r>
  <r>
    <x v="14"/>
    <s v="University of Mary Washington "/>
    <n v="232681"/>
    <x v="4"/>
    <s v="sem"/>
    <s v="sem"/>
    <m/>
    <m/>
    <n v="56736"/>
    <n v="57069"/>
    <n v="5617"/>
    <n v="6087"/>
    <n v="57846"/>
    <n v="57059"/>
    <n v="120199"/>
    <n v="28"/>
    <n v="4006.6333333333332"/>
    <n v="120215"/>
    <n v="36"/>
    <n v="4007.1666666666665"/>
    <m/>
    <m/>
    <m/>
    <m/>
    <m/>
    <m/>
    <m/>
    <m/>
    <n v="0"/>
    <m/>
    <n v="0"/>
    <n v="0"/>
    <m/>
    <n v="0"/>
    <m/>
    <m/>
    <n v="4140"/>
    <n v="3503"/>
    <n v="2235"/>
    <n v="2302"/>
    <n v="4241"/>
    <n v="4875"/>
    <n v="10616"/>
    <n v="442.33333333333331"/>
    <n v="10680"/>
    <n v="445"/>
    <n v="4448.9666666666662"/>
    <n v="4452.1666666666661"/>
  </r>
  <r>
    <x v="14"/>
    <s v="University of Virginia's College at Wise "/>
    <n v="233897"/>
    <x v="5"/>
    <s v="sem"/>
    <s v="sem"/>
    <m/>
    <m/>
    <n v="22706.5"/>
    <n v="21897"/>
    <n v="3569.5"/>
    <n v="3129"/>
    <n v="23996"/>
    <n v="23703"/>
    <n v="50272"/>
    <n v="14"/>
    <n v="1675.7333333333333"/>
    <n v="48729"/>
    <n v="84"/>
    <n v="1624.3"/>
    <m/>
    <m/>
    <m/>
    <m/>
    <m/>
    <m/>
    <m/>
    <m/>
    <n v="0"/>
    <m/>
    <n v="0"/>
    <n v="0"/>
    <m/>
    <n v="0"/>
    <m/>
    <m/>
    <m/>
    <n v="0"/>
    <m/>
    <n v="0"/>
    <m/>
    <n v="0"/>
    <n v="0"/>
    <n v="0"/>
    <n v="0"/>
    <n v="0"/>
    <n v="1675.7333333333333"/>
    <n v="1624.3"/>
  </r>
  <r>
    <x v="14"/>
    <s v="J.S. Reynolds Community College"/>
    <n v="232414"/>
    <x v="6"/>
    <s v="sem"/>
    <s v="sem"/>
    <m/>
    <m/>
    <n v="78788"/>
    <n v="84335"/>
    <n v="27539"/>
    <n v="28496"/>
    <n v="93644"/>
    <n v="99537"/>
    <n v="199971"/>
    <n v="20991"/>
    <n v="6665.7"/>
    <n v="212368"/>
    <n v="20452"/>
    <n v="7078.9333333333334"/>
    <m/>
    <m/>
    <m/>
    <m/>
    <m/>
    <m/>
    <m/>
    <m/>
    <n v="0"/>
    <m/>
    <n v="0"/>
    <n v="0"/>
    <m/>
    <n v="0"/>
    <m/>
    <m/>
    <m/>
    <n v="0"/>
    <m/>
    <n v="0"/>
    <m/>
    <n v="0"/>
    <n v="0"/>
    <n v="0"/>
    <n v="0"/>
    <n v="0"/>
    <n v="6665.7"/>
    <n v="7078.9333333333334"/>
  </r>
  <r>
    <x v="14"/>
    <s v="Northern Virginia Community College "/>
    <n v="232946"/>
    <x v="6"/>
    <s v="sem"/>
    <s v="sem"/>
    <m/>
    <m/>
    <n v="319024"/>
    <n v="338972"/>
    <n v="123753"/>
    <n v="131229"/>
    <n v="361535"/>
    <n v="370651"/>
    <n v="804312"/>
    <n v="18730"/>
    <n v="26810.400000000001"/>
    <n v="840852"/>
    <n v="17183"/>
    <n v="28028.400000000001"/>
    <m/>
    <m/>
    <m/>
    <m/>
    <m/>
    <m/>
    <m/>
    <m/>
    <n v="0"/>
    <m/>
    <n v="0"/>
    <n v="0"/>
    <m/>
    <n v="0"/>
    <m/>
    <m/>
    <m/>
    <n v="0"/>
    <m/>
    <n v="0"/>
    <m/>
    <n v="0"/>
    <n v="0"/>
    <n v="0"/>
    <n v="0"/>
    <n v="0"/>
    <n v="26810.400000000001"/>
    <n v="28028.400000000001"/>
  </r>
  <r>
    <x v="14"/>
    <s v="Thomas Nelson Community College "/>
    <n v="233754"/>
    <x v="6"/>
    <s v="sem"/>
    <s v="sem"/>
    <m/>
    <m/>
    <n v="68072"/>
    <n v="69027"/>
    <n v="20469"/>
    <n v="21470"/>
    <n v="75716"/>
    <n v="83283"/>
    <n v="164257"/>
    <n v="9278"/>
    <n v="5475.2333333333336"/>
    <n v="173780"/>
    <n v="12054"/>
    <n v="5792.666666666667"/>
    <m/>
    <m/>
    <m/>
    <m/>
    <m/>
    <m/>
    <m/>
    <m/>
    <n v="0"/>
    <m/>
    <n v="0"/>
    <n v="0"/>
    <m/>
    <n v="0"/>
    <m/>
    <m/>
    <m/>
    <n v="0"/>
    <m/>
    <n v="0"/>
    <m/>
    <n v="0"/>
    <n v="0"/>
    <n v="0"/>
    <n v="0"/>
    <n v="0"/>
    <n v="5475.2333333333336"/>
    <n v="5792.666666666667"/>
  </r>
  <r>
    <x v="14"/>
    <s v="Tidewater Community College "/>
    <n v="233772"/>
    <x v="6"/>
    <s v="sem"/>
    <s v="sem"/>
    <m/>
    <m/>
    <n v="203771"/>
    <n v="216377"/>
    <n v="71138"/>
    <n v="74013"/>
    <n v="225323"/>
    <n v="235637"/>
    <n v="500232"/>
    <n v="11046"/>
    <n v="16674.400000000001"/>
    <n v="526027"/>
    <n v="11423"/>
    <n v="17534.233333333334"/>
    <m/>
    <m/>
    <m/>
    <m/>
    <m/>
    <m/>
    <m/>
    <m/>
    <n v="0"/>
    <m/>
    <n v="0"/>
    <n v="0"/>
    <m/>
    <n v="0"/>
    <m/>
    <m/>
    <m/>
    <n v="0"/>
    <m/>
    <n v="0"/>
    <m/>
    <n v="0"/>
    <n v="0"/>
    <n v="0"/>
    <n v="0"/>
    <n v="0"/>
    <n v="16674.400000000001"/>
    <n v="17534.233333333334"/>
  </r>
  <r>
    <x v="14"/>
    <s v="Blue Ridge Community College "/>
    <n v="231536"/>
    <x v="7"/>
    <s v="sem"/>
    <s v="sem"/>
    <m/>
    <m/>
    <n v="32544"/>
    <n v="33507"/>
    <n v="8374"/>
    <n v="8363"/>
    <n v="36811"/>
    <n v="38881"/>
    <n v="77729"/>
    <n v="2791"/>
    <n v="2590.9666666666667"/>
    <n v="80751"/>
    <n v="4423"/>
    <n v="2691.7"/>
    <m/>
    <m/>
    <m/>
    <m/>
    <m/>
    <m/>
    <m/>
    <m/>
    <n v="0"/>
    <m/>
    <n v="0"/>
    <n v="0"/>
    <m/>
    <n v="0"/>
    <m/>
    <m/>
    <m/>
    <n v="0"/>
    <m/>
    <n v="0"/>
    <m/>
    <n v="0"/>
    <n v="0"/>
    <n v="0"/>
    <n v="0"/>
    <n v="0"/>
    <n v="2590.9666666666667"/>
    <n v="2691.7"/>
  </r>
  <r>
    <x v="14"/>
    <s v="Central Virginia Community College "/>
    <n v="231697"/>
    <x v="7"/>
    <s v="sem"/>
    <s v="sem"/>
    <m/>
    <m/>
    <n v="29023"/>
    <n v="30181"/>
    <n v="7650"/>
    <n v="8632"/>
    <n v="35179"/>
    <n v="37629"/>
    <n v="71852"/>
    <n v="9807"/>
    <n v="2395.0666666666666"/>
    <n v="76442"/>
    <n v="11400"/>
    <n v="2548.0666666666666"/>
    <m/>
    <m/>
    <m/>
    <m/>
    <m/>
    <m/>
    <m/>
    <m/>
    <n v="0"/>
    <m/>
    <n v="0"/>
    <n v="0"/>
    <m/>
    <n v="0"/>
    <m/>
    <m/>
    <m/>
    <n v="0"/>
    <m/>
    <n v="0"/>
    <m/>
    <n v="0"/>
    <n v="0"/>
    <n v="0"/>
    <n v="0"/>
    <n v="0"/>
    <n v="2395.0666666666666"/>
    <n v="2548.0666666666666"/>
  </r>
  <r>
    <x v="14"/>
    <s v="Danville Community College "/>
    <n v="231882"/>
    <x v="7"/>
    <s v="sem"/>
    <s v="sem"/>
    <m/>
    <m/>
    <n v="32055"/>
    <n v="32490"/>
    <n v="12199"/>
    <n v="11254"/>
    <n v="31500"/>
    <n v="30798"/>
    <n v="75754"/>
    <n v="10185"/>
    <n v="2525.1333333333332"/>
    <n v="74542"/>
    <n v="12237"/>
    <n v="2484.7333333333331"/>
    <m/>
    <m/>
    <m/>
    <m/>
    <m/>
    <m/>
    <m/>
    <m/>
    <n v="0"/>
    <m/>
    <n v="0"/>
    <n v="0"/>
    <m/>
    <n v="0"/>
    <m/>
    <m/>
    <m/>
    <n v="0"/>
    <m/>
    <n v="0"/>
    <m/>
    <n v="0"/>
    <n v="0"/>
    <n v="0"/>
    <n v="0"/>
    <n v="0"/>
    <n v="2525.1333333333332"/>
    <n v="2484.7333333333331"/>
  </r>
  <r>
    <x v="14"/>
    <s v="Germanna Community College"/>
    <n v="232195"/>
    <x v="7"/>
    <s v="sem"/>
    <s v="sem"/>
    <m/>
    <m/>
    <n v="38518"/>
    <n v="43364"/>
    <n v="9729"/>
    <n v="10506"/>
    <n v="47182"/>
    <n v="52417"/>
    <n v="95429"/>
    <n v="7924"/>
    <n v="3180.9666666666667"/>
    <n v="106287"/>
    <n v="9410"/>
    <n v="3542.9"/>
    <m/>
    <m/>
    <m/>
    <m/>
    <m/>
    <m/>
    <m/>
    <m/>
    <n v="0"/>
    <m/>
    <n v="0"/>
    <n v="0"/>
    <m/>
    <n v="0"/>
    <m/>
    <m/>
    <m/>
    <n v="0"/>
    <m/>
    <n v="0"/>
    <m/>
    <n v="0"/>
    <n v="0"/>
    <n v="0"/>
    <n v="0"/>
    <n v="0"/>
    <n v="3180.9666666666667"/>
    <n v="3542.9"/>
  </r>
  <r>
    <x v="14"/>
    <s v="John Tyler Community College"/>
    <n v="232450"/>
    <x v="7"/>
    <s v="sem"/>
    <s v="sem"/>
    <m/>
    <m/>
    <n v="51496.199999999903"/>
    <n v="56741"/>
    <n v="15849"/>
    <n v="17823"/>
    <n v="59514"/>
    <n v="65828"/>
    <n v="126859.1999999999"/>
    <n v="13585"/>
    <n v="4228.6399999999967"/>
    <n v="140392"/>
    <n v="17805"/>
    <n v="4679.7333333333336"/>
    <m/>
    <m/>
    <m/>
    <m/>
    <m/>
    <m/>
    <m/>
    <m/>
    <n v="0"/>
    <m/>
    <n v="0"/>
    <n v="0"/>
    <m/>
    <n v="0"/>
    <m/>
    <m/>
    <m/>
    <n v="0"/>
    <m/>
    <n v="0"/>
    <m/>
    <n v="0"/>
    <n v="0"/>
    <n v="0"/>
    <n v="0"/>
    <n v="0"/>
    <n v="4228.6399999999967"/>
    <n v="4679.7333333333336"/>
  </r>
  <r>
    <x v="14"/>
    <s v="Lord Fairfax Community College  "/>
    <n v="232575"/>
    <x v="7"/>
    <s v="sem"/>
    <s v="sem"/>
    <m/>
    <m/>
    <n v="41277"/>
    <n v="38657"/>
    <n v="9602"/>
    <n v="9985"/>
    <n v="43636"/>
    <n v="47958"/>
    <n v="94515"/>
    <n v="17522"/>
    <n v="3150.5"/>
    <n v="96600"/>
    <n v="15936"/>
    <n v="3220"/>
    <m/>
    <m/>
    <m/>
    <m/>
    <m/>
    <m/>
    <m/>
    <m/>
    <n v="0"/>
    <m/>
    <n v="0"/>
    <n v="0"/>
    <m/>
    <n v="0"/>
    <m/>
    <m/>
    <m/>
    <n v="0"/>
    <m/>
    <n v="0"/>
    <m/>
    <n v="0"/>
    <n v="0"/>
    <n v="0"/>
    <n v="0"/>
    <n v="0"/>
    <n v="3150.5"/>
    <n v="3220"/>
  </r>
  <r>
    <x v="14"/>
    <s v="New River Community College "/>
    <n v="232867"/>
    <x v="7"/>
    <s v="sem"/>
    <s v="sem"/>
    <m/>
    <m/>
    <n v="35903"/>
    <n v="37625"/>
    <n v="8372"/>
    <n v="8881"/>
    <n v="39035"/>
    <n v="40280"/>
    <n v="83310"/>
    <n v="10095"/>
    <n v="2777"/>
    <n v="86786"/>
    <n v="10951"/>
    <n v="2892.8666666666668"/>
    <m/>
    <m/>
    <m/>
    <m/>
    <m/>
    <m/>
    <m/>
    <m/>
    <n v="0"/>
    <m/>
    <n v="0"/>
    <n v="0"/>
    <m/>
    <n v="0"/>
    <m/>
    <m/>
    <m/>
    <n v="0"/>
    <m/>
    <n v="0"/>
    <m/>
    <n v="0"/>
    <n v="0"/>
    <n v="0"/>
    <n v="0"/>
    <n v="0"/>
    <n v="2777"/>
    <n v="2892.8666666666668"/>
  </r>
  <r>
    <x v="14"/>
    <s v="Piedmont Virginia Community College "/>
    <n v="233116"/>
    <x v="7"/>
    <s v="sem"/>
    <s v="sem"/>
    <m/>
    <m/>
    <n v="31661"/>
    <n v="32017"/>
    <n v="7330"/>
    <n v="7398"/>
    <n v="34275"/>
    <n v="36683"/>
    <n v="73266"/>
    <n v="9210"/>
    <n v="2442.1999999999998"/>
    <n v="76098"/>
    <n v="11024"/>
    <n v="2536.6"/>
    <m/>
    <m/>
    <m/>
    <m/>
    <m/>
    <m/>
    <m/>
    <m/>
    <n v="0"/>
    <m/>
    <n v="0"/>
    <n v="0"/>
    <m/>
    <n v="0"/>
    <m/>
    <m/>
    <m/>
    <n v="0"/>
    <m/>
    <n v="0"/>
    <m/>
    <n v="0"/>
    <n v="0"/>
    <n v="0"/>
    <n v="0"/>
    <n v="0"/>
    <n v="2442.1999999999998"/>
    <n v="2536.6"/>
  </r>
  <r>
    <x v="14"/>
    <s v="Southside Virginia Community College  "/>
    <n v="233639"/>
    <x v="7"/>
    <s v="sem"/>
    <s v="sem"/>
    <m/>
    <m/>
    <n v="40538"/>
    <n v="41097"/>
    <n v="10846"/>
    <n v="10380"/>
    <n v="44170"/>
    <n v="46203"/>
    <n v="95554"/>
    <n v="27992"/>
    <n v="3185.1333333333332"/>
    <n v="97680"/>
    <n v="28253"/>
    <n v="3256"/>
    <m/>
    <m/>
    <m/>
    <m/>
    <m/>
    <m/>
    <m/>
    <m/>
    <n v="0"/>
    <m/>
    <n v="0"/>
    <n v="0"/>
    <m/>
    <n v="0"/>
    <m/>
    <m/>
    <m/>
    <n v="0"/>
    <m/>
    <n v="0"/>
    <m/>
    <n v="0"/>
    <n v="0"/>
    <n v="0"/>
    <n v="0"/>
    <n v="0"/>
    <n v="3185.1333333333332"/>
    <n v="3256"/>
  </r>
  <r>
    <x v="14"/>
    <s v="Southwest Virginia Community College "/>
    <n v="233648"/>
    <x v="7"/>
    <s v="sem"/>
    <s v="sem"/>
    <m/>
    <m/>
    <n v="29674"/>
    <n v="28289"/>
    <n v="11078"/>
    <n v="10823"/>
    <n v="30600"/>
    <n v="31744"/>
    <n v="71352"/>
    <n v="6700"/>
    <n v="2378.4"/>
    <n v="70856"/>
    <n v="7828"/>
    <n v="2361.8666666666668"/>
    <m/>
    <m/>
    <m/>
    <m/>
    <m/>
    <m/>
    <m/>
    <m/>
    <n v="0"/>
    <m/>
    <n v="0"/>
    <n v="0"/>
    <m/>
    <n v="0"/>
    <m/>
    <m/>
    <m/>
    <n v="0"/>
    <m/>
    <n v="0"/>
    <m/>
    <n v="0"/>
    <n v="0"/>
    <n v="0"/>
    <n v="0"/>
    <n v="0"/>
    <n v="2378.4"/>
    <n v="2361.8666666666668"/>
  </r>
  <r>
    <x v="14"/>
    <s v="Virginia Western Community College "/>
    <n v="233949"/>
    <x v="7"/>
    <s v="sem"/>
    <s v="sem"/>
    <m/>
    <m/>
    <n v="52447"/>
    <n v="55152"/>
    <n v="15392"/>
    <n v="14940"/>
    <n v="59002"/>
    <n v="62028"/>
    <n v="126841"/>
    <n v="18281"/>
    <n v="4228.0333333333338"/>
    <n v="132120"/>
    <n v="18001"/>
    <n v="4404"/>
    <m/>
    <m/>
    <m/>
    <m/>
    <m/>
    <m/>
    <m/>
    <m/>
    <n v="0"/>
    <m/>
    <n v="0"/>
    <n v="0"/>
    <m/>
    <n v="0"/>
    <m/>
    <m/>
    <m/>
    <n v="0"/>
    <m/>
    <n v="0"/>
    <m/>
    <n v="0"/>
    <n v="0"/>
    <n v="0"/>
    <n v="0"/>
    <n v="0"/>
    <n v="4228.0333333333338"/>
    <n v="4404"/>
  </r>
  <r>
    <x v="14"/>
    <s v="D.S. Lancaster Community College "/>
    <n v="231873"/>
    <x v="8"/>
    <s v="sem"/>
    <s v="sem"/>
    <m/>
    <m/>
    <n v="9823"/>
    <n v="9627"/>
    <n v="1951"/>
    <n v="2559"/>
    <n v="10843"/>
    <n v="11023"/>
    <n v="22617"/>
    <n v="3843"/>
    <n v="753.9"/>
    <n v="23209"/>
    <n v="3823"/>
    <n v="773.63333333333333"/>
    <m/>
    <m/>
    <m/>
    <m/>
    <m/>
    <m/>
    <m/>
    <m/>
    <n v="0"/>
    <m/>
    <n v="0"/>
    <n v="0"/>
    <m/>
    <n v="0"/>
    <m/>
    <m/>
    <m/>
    <n v="0"/>
    <m/>
    <n v="0"/>
    <m/>
    <n v="0"/>
    <n v="0"/>
    <n v="0"/>
    <n v="0"/>
    <n v="0"/>
    <n v="753.9"/>
    <n v="773.63333333333333"/>
  </r>
  <r>
    <x v="14"/>
    <s v="Eastern Shore Community College  "/>
    <n v="232052"/>
    <x v="8"/>
    <s v="sem"/>
    <s v="sem"/>
    <m/>
    <m/>
    <n v="6527"/>
    <n v="7274"/>
    <n v="818"/>
    <n v="1211"/>
    <n v="7779"/>
    <n v="7814"/>
    <n v="15124"/>
    <n v="2465"/>
    <n v="504.13333333333333"/>
    <n v="16299"/>
    <n v="2805"/>
    <n v="543.29999999999995"/>
    <m/>
    <m/>
    <m/>
    <m/>
    <m/>
    <m/>
    <m/>
    <m/>
    <n v="0"/>
    <m/>
    <n v="0"/>
    <n v="0"/>
    <m/>
    <n v="0"/>
    <m/>
    <m/>
    <m/>
    <n v="0"/>
    <m/>
    <n v="0"/>
    <m/>
    <n v="0"/>
    <n v="0"/>
    <n v="0"/>
    <n v="0"/>
    <n v="0"/>
    <n v="504.13333333333333"/>
    <n v="543.29999999999995"/>
  </r>
  <r>
    <x v="14"/>
    <s v="Mountain Empire Community College  "/>
    <n v="232788"/>
    <x v="8"/>
    <s v="sem"/>
    <s v="sem"/>
    <m/>
    <m/>
    <n v="22021"/>
    <n v="23143"/>
    <n v="8826"/>
    <n v="7842"/>
    <n v="26554"/>
    <n v="26837"/>
    <n v="57401"/>
    <n v="8417"/>
    <n v="1913.3666666666666"/>
    <n v="57822"/>
    <n v="8822"/>
    <n v="1927.4"/>
    <m/>
    <m/>
    <m/>
    <m/>
    <m/>
    <m/>
    <m/>
    <m/>
    <n v="0"/>
    <m/>
    <n v="0"/>
    <n v="0"/>
    <m/>
    <n v="0"/>
    <m/>
    <m/>
    <m/>
    <n v="0"/>
    <m/>
    <n v="0"/>
    <m/>
    <n v="0"/>
    <n v="0"/>
    <n v="0"/>
    <n v="0"/>
    <n v="0"/>
    <n v="1913.3666666666666"/>
    <n v="1927.4"/>
  </r>
  <r>
    <x v="14"/>
    <s v="Patrick Henry Community College "/>
    <n v="233019"/>
    <x v="8"/>
    <s v="sem"/>
    <s v="sem"/>
    <m/>
    <m/>
    <n v="22858"/>
    <n v="24133"/>
    <n v="6685"/>
    <n v="6242"/>
    <n v="24934"/>
    <n v="28933"/>
    <n v="54477"/>
    <n v="9481"/>
    <n v="1815.9"/>
    <n v="59308"/>
    <n v="11337"/>
    <n v="1976.9333333333334"/>
    <m/>
    <m/>
    <m/>
    <m/>
    <m/>
    <m/>
    <m/>
    <m/>
    <n v="0"/>
    <m/>
    <n v="0"/>
    <n v="0"/>
    <m/>
    <n v="0"/>
    <m/>
    <m/>
    <m/>
    <n v="0"/>
    <m/>
    <n v="0"/>
    <m/>
    <n v="0"/>
    <n v="0"/>
    <n v="0"/>
    <n v="0"/>
    <n v="0"/>
    <n v="1815.9"/>
    <n v="1976.9333333333334"/>
  </r>
  <r>
    <x v="14"/>
    <s v="Paul D. Camp Community College  "/>
    <n v="233037"/>
    <x v="8"/>
    <s v="sem"/>
    <s v="sem"/>
    <m/>
    <m/>
    <n v="10475"/>
    <n v="11134"/>
    <n v="3176"/>
    <n v="3511"/>
    <n v="11413"/>
    <n v="11795"/>
    <n v="25064"/>
    <n v="4279"/>
    <n v="835.4666666666667"/>
    <n v="26440"/>
    <n v="4379"/>
    <n v="881.33333333333337"/>
    <m/>
    <m/>
    <m/>
    <m/>
    <m/>
    <m/>
    <m/>
    <m/>
    <n v="0"/>
    <m/>
    <n v="0"/>
    <n v="0"/>
    <m/>
    <n v="0"/>
    <m/>
    <m/>
    <m/>
    <n v="0"/>
    <m/>
    <n v="0"/>
    <m/>
    <n v="0"/>
    <n v="0"/>
    <n v="0"/>
    <n v="0"/>
    <n v="0"/>
    <n v="835.4666666666667"/>
    <n v="881.33333333333337"/>
  </r>
  <r>
    <x v="14"/>
    <s v="Rappahannock Community College  "/>
    <n v="233310"/>
    <x v="8"/>
    <s v="sem"/>
    <s v="sem"/>
    <m/>
    <m/>
    <n v="20055"/>
    <n v="21383"/>
    <n v="3526"/>
    <n v="4107"/>
    <n v="22452"/>
    <n v="23920"/>
    <n v="46033"/>
    <n v="15598"/>
    <n v="1534.4333333333334"/>
    <n v="49410"/>
    <n v="16894"/>
    <n v="1647"/>
    <m/>
    <m/>
    <m/>
    <m/>
    <m/>
    <m/>
    <m/>
    <m/>
    <n v="0"/>
    <m/>
    <n v="0"/>
    <n v="0"/>
    <m/>
    <n v="0"/>
    <m/>
    <m/>
    <m/>
    <n v="0"/>
    <m/>
    <n v="0"/>
    <m/>
    <n v="0"/>
    <n v="0"/>
    <n v="0"/>
    <n v="0"/>
    <n v="0"/>
    <n v="1534.4333333333334"/>
    <n v="1647"/>
  </r>
  <r>
    <x v="14"/>
    <s v="Richard Bland College "/>
    <n v="233338"/>
    <x v="8"/>
    <s v="sem"/>
    <s v="sem"/>
    <m/>
    <m/>
    <n v="11673"/>
    <n v="11280"/>
    <n v="2416"/>
    <n v="2538"/>
    <n v="13764"/>
    <n v="16855"/>
    <n v="27853"/>
    <n v="1973"/>
    <n v="928.43333333333328"/>
    <n v="30673"/>
    <n v="2418"/>
    <n v="1022.4333333333333"/>
    <m/>
    <m/>
    <m/>
    <m/>
    <m/>
    <m/>
    <m/>
    <m/>
    <n v="0"/>
    <m/>
    <n v="0"/>
    <n v="0"/>
    <m/>
    <n v="0"/>
    <m/>
    <m/>
    <m/>
    <n v="0"/>
    <m/>
    <n v="0"/>
    <m/>
    <n v="0"/>
    <n v="0"/>
    <n v="0"/>
    <n v="0"/>
    <n v="0"/>
    <n v="928.43333333333328"/>
    <n v="1022.4333333333333"/>
  </r>
  <r>
    <x v="14"/>
    <s v="Virginia Highlands Community College "/>
    <n v="233903"/>
    <x v="8"/>
    <s v="sem"/>
    <s v="sem"/>
    <m/>
    <m/>
    <n v="19254"/>
    <n v="18786"/>
    <n v="5358"/>
    <n v="5831"/>
    <n v="22529"/>
    <n v="22702"/>
    <n v="47141"/>
    <n v="5386"/>
    <n v="1571.3666666666666"/>
    <n v="47319"/>
    <n v="6237"/>
    <n v="1577.3"/>
    <m/>
    <m/>
    <m/>
    <m/>
    <m/>
    <m/>
    <m/>
    <m/>
    <n v="0"/>
    <m/>
    <n v="0"/>
    <n v="0"/>
    <m/>
    <n v="0"/>
    <m/>
    <m/>
    <m/>
    <n v="0"/>
    <m/>
    <n v="0"/>
    <m/>
    <n v="0"/>
    <n v="0"/>
    <n v="0"/>
    <n v="0"/>
    <n v="0"/>
    <n v="1571.3666666666666"/>
    <n v="1577.3"/>
  </r>
  <r>
    <x v="14"/>
    <s v="Wytheville Community College "/>
    <n v="234377"/>
    <x v="8"/>
    <s v="sem"/>
    <s v="sem"/>
    <m/>
    <m/>
    <n v="21698"/>
    <n v="23199"/>
    <n v="6513"/>
    <n v="6948"/>
    <n v="23653"/>
    <n v="27404"/>
    <n v="51864"/>
    <n v="9259"/>
    <n v="1728.8"/>
    <n v="57551"/>
    <n v="11250"/>
    <n v="1918.3666666666666"/>
    <m/>
    <m/>
    <m/>
    <m/>
    <m/>
    <m/>
    <m/>
    <m/>
    <n v="0"/>
    <m/>
    <n v="0"/>
    <n v="0"/>
    <m/>
    <n v="0"/>
    <m/>
    <m/>
    <m/>
    <n v="0"/>
    <m/>
    <n v="0"/>
    <m/>
    <n v="0"/>
    <n v="0"/>
    <n v="0"/>
    <n v="0"/>
    <n v="0"/>
    <n v="1728.8"/>
    <n v="1918.3666666666666"/>
  </r>
  <r>
    <x v="14"/>
    <s v="Virginia Military Institute"/>
    <n v="234085"/>
    <x v="11"/>
    <s v="sem"/>
    <s v="sem"/>
    <m/>
    <m/>
    <m/>
    <n v="21335"/>
    <m/>
    <n v="3239"/>
    <m/>
    <n v="23440"/>
    <n v="0"/>
    <m/>
    <n v="0"/>
    <n v="48014"/>
    <m/>
    <n v="1600.4666666666667"/>
    <m/>
    <m/>
    <m/>
    <m/>
    <m/>
    <m/>
    <m/>
    <m/>
    <n v="0"/>
    <m/>
    <n v="0"/>
    <n v="0"/>
    <m/>
    <n v="0"/>
    <m/>
    <m/>
    <m/>
    <m/>
    <m/>
    <m/>
    <m/>
    <m/>
    <n v="0"/>
    <n v="0"/>
    <n v="0"/>
    <n v="0"/>
    <n v="0"/>
    <n v="1600.4666666666667"/>
  </r>
  <r>
    <x v="14"/>
    <s v="Richard Bland College "/>
    <n v="233338"/>
    <x v="16"/>
    <s v="sem"/>
    <s v="sem"/>
    <m/>
    <m/>
    <n v="11673"/>
    <n v="11280"/>
    <n v="2416"/>
    <n v="2538"/>
    <n v="13764"/>
    <n v="16855"/>
    <n v="27853"/>
    <n v="1973"/>
    <n v="928.43333333333328"/>
    <n v="30673"/>
    <n v="2418"/>
    <n v="1022.4333333333333"/>
    <m/>
    <m/>
    <m/>
    <m/>
    <m/>
    <m/>
    <m/>
    <m/>
    <n v="0"/>
    <m/>
    <n v="0"/>
    <n v="0"/>
    <m/>
    <n v="0"/>
    <m/>
    <m/>
    <m/>
    <n v="0"/>
    <m/>
    <n v="0"/>
    <m/>
    <n v="0"/>
    <n v="0"/>
    <n v="0"/>
    <n v="0"/>
    <n v="0"/>
    <n v="928.43333333333328"/>
    <n v="1022.4333333333333"/>
  </r>
  <r>
    <x v="14"/>
    <s v="All Community Colleges except R. Bland"/>
    <m/>
    <x v="17"/>
    <s v="sem"/>
    <s v="sem"/>
    <m/>
    <m/>
    <n v="1138714.2"/>
    <n v="1192175"/>
    <n v="368634"/>
    <n v="383948"/>
    <n v="1273635"/>
    <n v="1340448"/>
    <n v="2780983.2"/>
    <n v="231874"/>
    <n v="92699.44"/>
    <n v="2916571"/>
    <n v="253475"/>
    <n v="97219.03333333334"/>
    <m/>
    <m/>
    <m/>
    <m/>
    <m/>
    <m/>
    <m/>
    <m/>
    <n v="0"/>
    <m/>
    <n v="0"/>
    <n v="0"/>
    <m/>
    <n v="0"/>
    <m/>
    <m/>
    <m/>
    <m/>
    <m/>
    <m/>
    <m/>
    <m/>
    <n v="0"/>
    <n v="0"/>
    <n v="0"/>
    <n v="0"/>
    <n v="92699.44"/>
    <n v="97219.03333333334"/>
  </r>
  <r>
    <x v="15"/>
    <s v="West Virginia University"/>
    <n v="238032"/>
    <x v="0"/>
    <s v="sem"/>
    <s v="sem"/>
    <m/>
    <m/>
    <n v="274719"/>
    <n v="278416"/>
    <n v="35165"/>
    <n v="37075"/>
    <n v="304740"/>
    <n v="313368"/>
    <n v="614624"/>
    <n v="2612"/>
    <n v="20487.466666666667"/>
    <n v="628859"/>
    <n v="2593"/>
    <n v="20961.966666666667"/>
    <m/>
    <m/>
    <m/>
    <m/>
    <m/>
    <m/>
    <m/>
    <m/>
    <n v="0"/>
    <m/>
    <n v="0"/>
    <n v="0"/>
    <m/>
    <n v="0"/>
    <m/>
    <m/>
    <n v="48037"/>
    <n v="48495"/>
    <n v="21986"/>
    <n v="21320"/>
    <n v="48913"/>
    <n v="48666"/>
    <n v="118936"/>
    <n v="4955.666666666667"/>
    <n v="118481"/>
    <n v="4936.708333333333"/>
    <n v="25443.133333333335"/>
    <n v="25898.674999999999"/>
  </r>
  <r>
    <x v="15"/>
    <s v="Marshall University "/>
    <n v="237525"/>
    <x v="2"/>
    <s v="sem"/>
    <s v="sem"/>
    <m/>
    <m/>
    <n v="112819"/>
    <n v="111321"/>
    <n v="17638"/>
    <n v="17215"/>
    <n v="121856"/>
    <n v="119271"/>
    <n v="252313"/>
    <n v="4357"/>
    <n v="8410.4333333333325"/>
    <n v="247807"/>
    <n v="3836"/>
    <n v="8260.2333333333336"/>
    <m/>
    <m/>
    <m/>
    <m/>
    <m/>
    <m/>
    <m/>
    <m/>
    <n v="0"/>
    <m/>
    <n v="0"/>
    <n v="0"/>
    <m/>
    <n v="0"/>
    <m/>
    <m/>
    <n v="24280"/>
    <n v="23746"/>
    <n v="14384"/>
    <n v="13848"/>
    <n v="23620"/>
    <n v="24089"/>
    <n v="62284"/>
    <n v="2595.1666666666665"/>
    <n v="61683"/>
    <n v="2570.125"/>
    <n v="11005.599999999999"/>
    <n v="10830.358333333334"/>
  </r>
  <r>
    <x v="15"/>
    <s v="Bluefield State College "/>
    <n v="237215"/>
    <x v="5"/>
    <s v="sem"/>
    <s v="sem"/>
    <m/>
    <m/>
    <n v="22145"/>
    <n v="22844"/>
    <n v="2591"/>
    <n v="2987"/>
    <n v="23922"/>
    <n v="24932"/>
    <n v="48658"/>
    <n v="604"/>
    <n v="1621.9333333333334"/>
    <n v="50763"/>
    <n v="464"/>
    <n v="1692.1"/>
    <m/>
    <m/>
    <m/>
    <m/>
    <m/>
    <m/>
    <m/>
    <m/>
    <n v="0"/>
    <m/>
    <n v="0"/>
    <n v="0"/>
    <m/>
    <n v="0"/>
    <m/>
    <m/>
    <m/>
    <m/>
    <m/>
    <m/>
    <m/>
    <m/>
    <n v="0"/>
    <n v="0"/>
    <n v="0"/>
    <n v="0"/>
    <n v="1621.9333333333334"/>
    <n v="1692.1"/>
  </r>
  <r>
    <x v="15"/>
    <s v="Concord University "/>
    <n v="237330"/>
    <x v="5"/>
    <s v="sem"/>
    <s v="sem"/>
    <m/>
    <m/>
    <n v="35221"/>
    <n v="35189"/>
    <n v="3549"/>
    <n v="3493"/>
    <n v="37691"/>
    <n v="40012"/>
    <n v="76461"/>
    <n v="1832"/>
    <n v="2548.6999999999998"/>
    <n v="78694"/>
    <n v="1246"/>
    <n v="2623.1333333333332"/>
    <m/>
    <m/>
    <m/>
    <m/>
    <m/>
    <m/>
    <m/>
    <m/>
    <n v="0"/>
    <m/>
    <n v="0"/>
    <n v="0"/>
    <m/>
    <n v="0"/>
    <m/>
    <m/>
    <n v="738"/>
    <n v="474"/>
    <n v="447"/>
    <n v="300"/>
    <n v="543"/>
    <n v="518"/>
    <n v="1728"/>
    <n v="72"/>
    <n v="1292"/>
    <n v="53.833333333333336"/>
    <n v="2620.6999999999998"/>
    <n v="2676.9666666666667"/>
  </r>
  <r>
    <x v="15"/>
    <s v="Fairmont State University"/>
    <n v="237367"/>
    <x v="5"/>
    <s v="sem"/>
    <s v="sem"/>
    <m/>
    <m/>
    <n v="48618"/>
    <n v="51333"/>
    <n v="5452"/>
    <n v="5816"/>
    <n v="55390"/>
    <n v="56121"/>
    <n v="109460"/>
    <n v="0"/>
    <n v="3648.6666666666665"/>
    <n v="113270"/>
    <n v="0"/>
    <n v="3775.6666666666665"/>
    <m/>
    <m/>
    <m/>
    <m/>
    <m/>
    <m/>
    <m/>
    <m/>
    <n v="0"/>
    <m/>
    <n v="0"/>
    <n v="0"/>
    <m/>
    <n v="0"/>
    <m/>
    <m/>
    <n v="1952"/>
    <n v="2481"/>
    <n v="1003"/>
    <n v="1261"/>
    <n v="2423"/>
    <n v="2760"/>
    <n v="5378"/>
    <n v="224.08333333333334"/>
    <n v="6502"/>
    <n v="270.91666666666669"/>
    <n v="3872.75"/>
    <n v="4046.583333333333"/>
  </r>
  <r>
    <x v="15"/>
    <s v="Glenville State College "/>
    <n v="237385"/>
    <x v="5"/>
    <s v="sem"/>
    <s v="sem"/>
    <m/>
    <m/>
    <n v="16499"/>
    <n v="16592"/>
    <n v="1321"/>
    <n v="1763"/>
    <n v="18138.099999999999"/>
    <n v="18979.099999999999"/>
    <n v="35958.1"/>
    <n v="1206"/>
    <n v="1198.6033333333332"/>
    <n v="37334.1"/>
    <n v="900"/>
    <n v="1244.47"/>
    <m/>
    <m/>
    <m/>
    <m/>
    <m/>
    <m/>
    <m/>
    <m/>
    <n v="0"/>
    <m/>
    <n v="0"/>
    <n v="0"/>
    <m/>
    <n v="0"/>
    <m/>
    <m/>
    <m/>
    <m/>
    <m/>
    <m/>
    <m/>
    <m/>
    <n v="0"/>
    <n v="0"/>
    <n v="0"/>
    <n v="0"/>
    <n v="1198.6033333333332"/>
    <n v="1244.47"/>
  </r>
  <r>
    <x v="15"/>
    <s v="Shepherd University "/>
    <n v="237792"/>
    <x v="5"/>
    <s v="sem"/>
    <s v="sem"/>
    <m/>
    <m/>
    <n v="47248.5"/>
    <n v="47511.5"/>
    <n v="4573"/>
    <n v="4534"/>
    <n v="51937.5"/>
    <n v="52917.5"/>
    <n v="103759"/>
    <n v="53"/>
    <n v="3458.6333333333332"/>
    <n v="104963"/>
    <n v="98"/>
    <n v="3498.7666666666669"/>
    <m/>
    <m/>
    <m/>
    <m/>
    <m/>
    <m/>
    <m/>
    <m/>
    <n v="0"/>
    <m/>
    <n v="0"/>
    <n v="0"/>
    <m/>
    <n v="0"/>
    <m/>
    <m/>
    <n v="695"/>
    <n v="858"/>
    <n v="543"/>
    <n v="404"/>
    <n v="869.5"/>
    <n v="858"/>
    <n v="2107.5"/>
    <n v="87.8125"/>
    <n v="2120"/>
    <n v="88.333333333333329"/>
    <n v="3546.4458333333332"/>
    <n v="3587.1000000000004"/>
  </r>
  <r>
    <x v="15"/>
    <s v="West Liberty University"/>
    <n v="237932"/>
    <x v="5"/>
    <s v="sem"/>
    <s v="sem"/>
    <m/>
    <m/>
    <n v="30200"/>
    <n v="30946"/>
    <n v="1394"/>
    <n v="1511"/>
    <n v="34571"/>
    <n v="36122"/>
    <n v="66165"/>
    <n v="881"/>
    <n v="2205.5"/>
    <n v="68579"/>
    <n v="1213"/>
    <n v="2285.9666666666667"/>
    <m/>
    <m/>
    <m/>
    <m/>
    <m/>
    <m/>
    <m/>
    <m/>
    <n v="0"/>
    <m/>
    <n v="0"/>
    <n v="0"/>
    <m/>
    <n v="0"/>
    <m/>
    <m/>
    <m/>
    <n v="15"/>
    <m/>
    <m/>
    <m/>
    <n v="48"/>
    <n v="0"/>
    <n v="0"/>
    <n v="63"/>
    <n v="2.625"/>
    <n v="2205.5"/>
    <n v="2288.5916666666667"/>
  </r>
  <r>
    <x v="15"/>
    <s v="West Virginia State University "/>
    <n v="237899"/>
    <x v="5"/>
    <s v="sem"/>
    <s v="sem"/>
    <m/>
    <m/>
    <n v="37490"/>
    <n v="34776"/>
    <n v="3088"/>
    <n v="2617"/>
    <n v="37618"/>
    <n v="35261"/>
    <n v="78196"/>
    <n v="3330"/>
    <n v="2606.5333333333333"/>
    <n v="72654"/>
    <n v="3358"/>
    <n v="2421.8000000000002"/>
    <m/>
    <m/>
    <m/>
    <m/>
    <m/>
    <m/>
    <m/>
    <m/>
    <n v="0"/>
    <m/>
    <n v="0"/>
    <n v="0"/>
    <m/>
    <n v="0"/>
    <m/>
    <m/>
    <n v="264"/>
    <n v="311"/>
    <n v="14"/>
    <n v="12"/>
    <n v="299"/>
    <n v="322"/>
    <n v="577"/>
    <n v="24.041666666666668"/>
    <n v="645"/>
    <n v="26.875"/>
    <n v="2630.5749999999998"/>
    <n v="2448.6750000000002"/>
  </r>
  <r>
    <x v="15"/>
    <s v="West Virginia University Institute of Technology"/>
    <n v="237950"/>
    <x v="5"/>
    <s v="sem"/>
    <s v="sem"/>
    <m/>
    <m/>
    <n v="15911"/>
    <n v="16454"/>
    <n v="1378"/>
    <n v="990"/>
    <n v="18187"/>
    <n v="15655"/>
    <n v="35476"/>
    <n v="1146"/>
    <n v="1182.5333333333333"/>
    <n v="33099"/>
    <n v="773"/>
    <n v="1103.3"/>
    <m/>
    <m/>
    <m/>
    <m/>
    <m/>
    <m/>
    <m/>
    <m/>
    <n v="0"/>
    <m/>
    <n v="0"/>
    <n v="0"/>
    <m/>
    <n v="0"/>
    <m/>
    <m/>
    <n v="16"/>
    <n v="2"/>
    <n v="3"/>
    <m/>
    <n v="7"/>
    <m/>
    <n v="26"/>
    <n v="1.0833333333333333"/>
    <n v="2"/>
    <n v="8.3333333333333329E-2"/>
    <n v="1183.6166666666666"/>
    <n v="1103.3833333333332"/>
  </r>
  <r>
    <x v="15"/>
    <s v="West Virginia University at Parkersburg"/>
    <n v="237686"/>
    <x v="12"/>
    <s v="sem"/>
    <s v="sem"/>
    <m/>
    <m/>
    <n v="38110"/>
    <n v="38158"/>
    <n v="6657"/>
    <n v="6926"/>
    <n v="39602"/>
    <n v="39085"/>
    <n v="84369"/>
    <n v="3775"/>
    <n v="2812.3"/>
    <n v="84169"/>
    <n v="3453"/>
    <n v="2805.6333333333332"/>
    <m/>
    <m/>
    <m/>
    <m/>
    <m/>
    <m/>
    <m/>
    <m/>
    <n v="0"/>
    <m/>
    <n v="0"/>
    <n v="0"/>
    <m/>
    <n v="0"/>
    <m/>
    <m/>
    <m/>
    <m/>
    <m/>
    <m/>
    <m/>
    <m/>
    <n v="0"/>
    <n v="0"/>
    <n v="0"/>
    <n v="0"/>
    <n v="2812.3"/>
    <n v="2805.6333333333332"/>
  </r>
  <r>
    <x v="15"/>
    <s v="Pierpont Community &amp; Technical College"/>
    <n v="443492"/>
    <x v="7"/>
    <s v="sem"/>
    <s v="sem"/>
    <m/>
    <m/>
    <n v="24006"/>
    <n v="26131"/>
    <n v="2619"/>
    <n v="2930"/>
    <n v="29108"/>
    <n v="27175"/>
    <n v="55733"/>
    <n v="4654"/>
    <n v="1857.7666666666667"/>
    <n v="56236"/>
    <n v="4208"/>
    <n v="1874.5333333333333"/>
    <m/>
    <m/>
    <m/>
    <m/>
    <m/>
    <m/>
    <m/>
    <m/>
    <n v="0"/>
    <m/>
    <n v="0"/>
    <n v="0"/>
    <m/>
    <n v="0"/>
    <m/>
    <m/>
    <m/>
    <m/>
    <m/>
    <m/>
    <m/>
    <m/>
    <n v="0"/>
    <n v="0"/>
    <n v="0"/>
    <n v="0"/>
    <n v="1857.7666666666667"/>
    <n v="1874.5333333333333"/>
  </r>
  <r>
    <x v="15"/>
    <s v="Blue Ridge Community &amp; Technical College"/>
    <n v="446774"/>
    <x v="8"/>
    <s v="sem"/>
    <s v="sem"/>
    <m/>
    <m/>
    <n v="12019"/>
    <n v="14473.5"/>
    <n v="1568"/>
    <n v="1831"/>
    <n v="14965.6"/>
    <n v="16962.5"/>
    <n v="28552.6"/>
    <n v="854.1"/>
    <n v="951.75333333333333"/>
    <n v="33267"/>
    <n v="1076"/>
    <n v="1108.9000000000001"/>
    <m/>
    <m/>
    <m/>
    <m/>
    <m/>
    <m/>
    <m/>
    <m/>
    <n v="0"/>
    <m/>
    <n v="0"/>
    <n v="0"/>
    <m/>
    <n v="0"/>
    <m/>
    <m/>
    <m/>
    <m/>
    <m/>
    <m/>
    <m/>
    <m/>
    <n v="0"/>
    <n v="0"/>
    <n v="0"/>
    <n v="0"/>
    <n v="951.75333333333333"/>
    <n v="1108.9000000000001"/>
  </r>
  <r>
    <x v="15"/>
    <s v="Community &amp; Technical College at WVU Tech"/>
    <n v="445674"/>
    <x v="8"/>
    <s v="sem"/>
    <s v="sem"/>
    <m/>
    <m/>
    <n v="7934"/>
    <n v="8305"/>
    <n v="413"/>
    <n v="487"/>
    <n v="9158"/>
    <n v="8584"/>
    <n v="17505"/>
    <n v="303"/>
    <n v="583.5"/>
    <n v="17376"/>
    <n v="307"/>
    <n v="579.20000000000005"/>
    <m/>
    <m/>
    <m/>
    <m/>
    <m/>
    <m/>
    <m/>
    <m/>
    <n v="0"/>
    <m/>
    <n v="0"/>
    <n v="0"/>
    <m/>
    <n v="0"/>
    <m/>
    <m/>
    <m/>
    <m/>
    <m/>
    <m/>
    <m/>
    <m/>
    <n v="0"/>
    <n v="0"/>
    <n v="0"/>
    <n v="0"/>
    <n v="583.5"/>
    <n v="579.20000000000005"/>
  </r>
  <r>
    <x v="15"/>
    <s v="Eastern West Virginia Community &amp; Technical College"/>
    <n v="438708"/>
    <x v="8"/>
    <s v="sem"/>
    <s v="sem"/>
    <m/>
    <m/>
    <n v="2786"/>
    <n v="2507"/>
    <n v="346"/>
    <n v="379"/>
    <n v="3082"/>
    <n v="3618"/>
    <n v="6214"/>
    <n v="1683"/>
    <n v="207.13333333333333"/>
    <n v="6504"/>
    <n v="1671"/>
    <n v="216.8"/>
    <m/>
    <m/>
    <m/>
    <m/>
    <m/>
    <m/>
    <m/>
    <m/>
    <n v="0"/>
    <m/>
    <n v="0"/>
    <n v="0"/>
    <m/>
    <n v="0"/>
    <m/>
    <m/>
    <m/>
    <m/>
    <m/>
    <m/>
    <m/>
    <m/>
    <n v="0"/>
    <n v="0"/>
    <n v="0"/>
    <n v="0"/>
    <n v="207.13333333333333"/>
    <n v="216.8"/>
  </r>
  <r>
    <x v="15"/>
    <s v="Marshall Community &amp; Technical College"/>
    <n v="444954"/>
    <x v="8"/>
    <s v="sem"/>
    <s v="sem"/>
    <m/>
    <m/>
    <n v="20169"/>
    <n v="20350"/>
    <n v="2959"/>
    <n v="3305"/>
    <n v="22815"/>
    <n v="24471"/>
    <n v="45943"/>
    <n v="1265"/>
    <n v="1531.4333333333334"/>
    <n v="48126"/>
    <n v="1275"/>
    <n v="1604.2"/>
    <m/>
    <m/>
    <m/>
    <m/>
    <m/>
    <m/>
    <m/>
    <m/>
    <n v="0"/>
    <m/>
    <n v="0"/>
    <n v="0"/>
    <m/>
    <n v="0"/>
    <m/>
    <m/>
    <m/>
    <m/>
    <m/>
    <m/>
    <m/>
    <m/>
    <n v="0"/>
    <n v="0"/>
    <n v="0"/>
    <n v="0"/>
    <n v="1531.4333333333334"/>
    <n v="1604.2"/>
  </r>
  <r>
    <x v="15"/>
    <s v="New River Community &amp; Technical College"/>
    <n v="447582"/>
    <x v="8"/>
    <s v="sem"/>
    <s v="sem"/>
    <m/>
    <m/>
    <n v="17879"/>
    <n v="21361.3"/>
    <n v="3047"/>
    <n v="3134"/>
    <n v="21096"/>
    <n v="22832"/>
    <n v="42022"/>
    <n v="2620"/>
    <n v="1400.7333333333333"/>
    <n v="47327.3"/>
    <n v="2765"/>
    <n v="1577.5766666666668"/>
    <m/>
    <m/>
    <m/>
    <m/>
    <m/>
    <m/>
    <m/>
    <m/>
    <n v="0"/>
    <m/>
    <n v="0"/>
    <n v="0"/>
    <m/>
    <n v="0"/>
    <m/>
    <m/>
    <m/>
    <m/>
    <m/>
    <m/>
    <m/>
    <m/>
    <n v="0"/>
    <n v="0"/>
    <n v="0"/>
    <n v="0"/>
    <n v="1400.7333333333333"/>
    <n v="1577.5766666666668"/>
  </r>
  <r>
    <x v="15"/>
    <s v="Potomac State College of West Virginia University"/>
    <n v="237701"/>
    <x v="8"/>
    <s v="sem"/>
    <s v="sem"/>
    <m/>
    <m/>
    <n v="15529"/>
    <n v="16557"/>
    <n v="926"/>
    <n v="988"/>
    <n v="19068"/>
    <n v="18725"/>
    <n v="35523"/>
    <n v="2961"/>
    <n v="1184.0999999999999"/>
    <n v="36270"/>
    <n v="2852"/>
    <n v="1209"/>
    <m/>
    <m/>
    <m/>
    <m/>
    <m/>
    <m/>
    <m/>
    <m/>
    <n v="0"/>
    <m/>
    <n v="0"/>
    <n v="0"/>
    <m/>
    <n v="0"/>
    <m/>
    <m/>
    <m/>
    <m/>
    <m/>
    <m/>
    <m/>
    <m/>
    <n v="0"/>
    <n v="0"/>
    <n v="0"/>
    <n v="0"/>
    <n v="1184.0999999999999"/>
    <n v="1209"/>
  </r>
  <r>
    <x v="15"/>
    <s v="Southern West Virginia Community &amp; Technical College "/>
    <n v="237817"/>
    <x v="8"/>
    <s v="sem"/>
    <s v="sem"/>
    <m/>
    <m/>
    <n v="22630"/>
    <n v="22742"/>
    <n v="1332"/>
    <n v="1595"/>
    <n v="24366"/>
    <n v="25227"/>
    <n v="48328"/>
    <n v="2504"/>
    <n v="1610.9333333333334"/>
    <n v="49564"/>
    <n v="3302"/>
    <n v="1652.1333333333334"/>
    <m/>
    <m/>
    <m/>
    <m/>
    <m/>
    <m/>
    <m/>
    <m/>
    <n v="0"/>
    <m/>
    <n v="0"/>
    <n v="0"/>
    <m/>
    <n v="0"/>
    <m/>
    <m/>
    <m/>
    <m/>
    <m/>
    <m/>
    <m/>
    <m/>
    <n v="0"/>
    <n v="0"/>
    <n v="0"/>
    <n v="0"/>
    <n v="1610.9333333333334"/>
    <n v="1652.1333333333334"/>
  </r>
  <r>
    <x v="15"/>
    <s v="West Virginia Northern Community College"/>
    <n v="238014"/>
    <x v="8"/>
    <s v="sem"/>
    <s v="sem"/>
    <m/>
    <m/>
    <n v="27022.799999999999"/>
    <n v="26169.3"/>
    <n v="7759.3"/>
    <n v="5644"/>
    <n v="28471.3"/>
    <n v="27357.9"/>
    <n v="63253.399999999994"/>
    <n v="4469.5"/>
    <n v="2108.4466666666663"/>
    <n v="59171.199999999997"/>
    <n v="4067.3"/>
    <n v="1972.3733333333332"/>
    <m/>
    <m/>
    <m/>
    <m/>
    <m/>
    <m/>
    <m/>
    <m/>
    <n v="0"/>
    <m/>
    <n v="0"/>
    <n v="0"/>
    <m/>
    <n v="0"/>
    <m/>
    <m/>
    <m/>
    <m/>
    <m/>
    <m/>
    <m/>
    <m/>
    <n v="0"/>
    <n v="0"/>
    <n v="0"/>
    <n v="0"/>
    <n v="2108.4466666666663"/>
    <n v="1972.3733333333332"/>
  </r>
  <r>
    <x v="15"/>
    <s v="WV State Community &amp; Technical College"/>
    <n v="445018"/>
    <x v="8"/>
    <s v="sem"/>
    <s v="sem"/>
    <m/>
    <m/>
    <n v="17505"/>
    <n v="16869"/>
    <n v="1787"/>
    <n v="1990"/>
    <n v="17885"/>
    <n v="19293"/>
    <n v="37177"/>
    <n v="344"/>
    <n v="1239.2333333333333"/>
    <n v="38152"/>
    <n v="262"/>
    <n v="1271.7333333333333"/>
    <m/>
    <m/>
    <m/>
    <m/>
    <m/>
    <m/>
    <m/>
    <m/>
    <n v="0"/>
    <m/>
    <n v="0"/>
    <n v="0"/>
    <m/>
    <n v="0"/>
    <m/>
    <m/>
    <m/>
    <m/>
    <m/>
    <m/>
    <m/>
    <m/>
    <n v="0"/>
    <n v="0"/>
    <n v="0"/>
    <n v="0"/>
    <n v="1239.2333333333333"/>
    <n v="1271.7333333333333"/>
  </r>
</pivotCacheRecords>
</file>

<file path=xl/pivotCache/pivotCacheRecords2.xml><?xml version="1.0" encoding="utf-8"?>
<pivotCacheRecords xmlns="http://schemas.openxmlformats.org/spreadsheetml/2006/main" xmlns:r="http://schemas.openxmlformats.org/officeDocument/2006/relationships" count="723">
  <r>
    <x v="0"/>
    <s v="Auburn University  "/>
    <n v="100858"/>
    <x v="0"/>
    <s v="sem"/>
    <s v="sem"/>
    <m/>
    <m/>
    <n v="241811"/>
    <n v="246206"/>
    <n v="61511"/>
    <n v="58930"/>
    <n v="266315"/>
    <n v="272230"/>
    <n v="569637"/>
    <n v="0"/>
    <s v="—"/>
    <n v="18987.900000000001"/>
    <n v="577366"/>
    <n v="0"/>
    <s v="—"/>
    <n v="19245.533333333333"/>
    <m/>
    <m/>
    <m/>
    <m/>
    <m/>
    <m/>
    <m/>
    <m/>
    <n v="0"/>
    <n v="0"/>
    <m/>
    <n v="0"/>
    <n v="0"/>
    <n v="0"/>
    <m/>
    <n v="0"/>
  </r>
  <r>
    <x v="0"/>
    <s v="University of Alabama "/>
    <n v="100751"/>
    <x v="0"/>
    <s v="sem"/>
    <s v="sem"/>
    <m/>
    <m/>
    <n v="249335"/>
    <n v="269582"/>
    <n v="58803"/>
    <n v="63093"/>
    <n v="285548"/>
    <n v="303425"/>
    <n v="593686"/>
    <n v="0"/>
    <s v="—"/>
    <n v="19789.533333333333"/>
    <n v="636100"/>
    <n v="0"/>
    <s v="—"/>
    <n v="21203.333333333332"/>
    <m/>
    <m/>
    <m/>
    <m/>
    <m/>
    <m/>
    <m/>
    <m/>
    <n v="0"/>
    <n v="0"/>
    <m/>
    <n v="0"/>
    <n v="0"/>
    <n v="0"/>
    <m/>
    <n v="0"/>
  </r>
  <r>
    <x v="0"/>
    <s v="University of Alabama at Birmingham"/>
    <n v="100663"/>
    <x v="0"/>
    <s v="sem"/>
    <s v="sem"/>
    <m/>
    <m/>
    <n v="110233"/>
    <n v="106612"/>
    <n v="38486"/>
    <n v="32388"/>
    <n v="118058"/>
    <n v="112683"/>
    <n v="266777"/>
    <n v="0"/>
    <s v="—"/>
    <n v="8892.5666666666675"/>
    <n v="251683"/>
    <n v="0"/>
    <s v="—"/>
    <n v="8389.4333333333325"/>
    <m/>
    <m/>
    <m/>
    <m/>
    <m/>
    <m/>
    <m/>
    <m/>
    <n v="0"/>
    <n v="0"/>
    <m/>
    <n v="0"/>
    <n v="0"/>
    <n v="0"/>
    <m/>
    <n v="0"/>
  </r>
  <r>
    <x v="0"/>
    <s v="University of Alabama in Huntsville"/>
    <n v="100706"/>
    <x v="1"/>
    <s v="sem"/>
    <s v="sem"/>
    <m/>
    <m/>
    <n v="61648"/>
    <n v="62323"/>
    <n v="17856"/>
    <n v="17644"/>
    <n v="67154"/>
    <n v="69817"/>
    <n v="146658"/>
    <n v="0"/>
    <s v="—"/>
    <n v="4888.6000000000004"/>
    <n v="149784"/>
    <n v="0"/>
    <s v="—"/>
    <n v="4992.8"/>
    <m/>
    <m/>
    <m/>
    <m/>
    <m/>
    <m/>
    <m/>
    <m/>
    <n v="0"/>
    <n v="0"/>
    <m/>
    <n v="0"/>
    <n v="0"/>
    <n v="0"/>
    <m/>
    <n v="0"/>
  </r>
  <r>
    <x v="0"/>
    <s v="Alabama Agricultural &amp; Mechanical University"/>
    <n v="100654"/>
    <x v="2"/>
    <s v="sem"/>
    <s v="sem"/>
    <m/>
    <m/>
    <n v="64435"/>
    <n v="61417"/>
    <n v="11340"/>
    <n v="9079"/>
    <n v="67615"/>
    <n v="64735"/>
    <n v="143390"/>
    <n v="0"/>
    <s v="—"/>
    <n v="4779.666666666667"/>
    <n v="135231"/>
    <n v="0"/>
    <s v="—"/>
    <n v="4507.7"/>
    <m/>
    <m/>
    <m/>
    <m/>
    <m/>
    <m/>
    <m/>
    <m/>
    <n v="0"/>
    <n v="0"/>
    <m/>
    <n v="0"/>
    <n v="0"/>
    <n v="0"/>
    <m/>
    <n v="0"/>
  </r>
  <r>
    <x v="0"/>
    <s v="Jacksonville State University "/>
    <n v="101480"/>
    <x v="2"/>
    <s v="sem"/>
    <s v="sem"/>
    <m/>
    <m/>
    <n v="82767"/>
    <n v="86108"/>
    <n v="23636"/>
    <n v="24175"/>
    <n v="91859"/>
    <n v="95212"/>
    <n v="198262"/>
    <n v="0"/>
    <s v="—"/>
    <n v="6608.7333333333336"/>
    <n v="205495"/>
    <n v="0"/>
    <s v="—"/>
    <n v="6849.833333333333"/>
    <m/>
    <m/>
    <m/>
    <m/>
    <m/>
    <m/>
    <m/>
    <m/>
    <n v="0"/>
    <n v="0"/>
    <m/>
    <n v="0"/>
    <n v="0"/>
    <n v="0"/>
    <m/>
    <n v="0"/>
  </r>
  <r>
    <x v="0"/>
    <s v="University of South Alabama"/>
    <n v="102094"/>
    <x v="2"/>
    <s v="sem"/>
    <s v="sem"/>
    <m/>
    <m/>
    <n v="103330"/>
    <n v="107967"/>
    <n v="26579"/>
    <n v="29063"/>
    <n v="116715"/>
    <n v="121086"/>
    <n v="246624"/>
    <n v="0"/>
    <s v="—"/>
    <n v="8220.7999999999993"/>
    <n v="258116"/>
    <n v="0"/>
    <s v="—"/>
    <n v="8603.8666666666668"/>
    <m/>
    <m/>
    <m/>
    <m/>
    <m/>
    <m/>
    <m/>
    <m/>
    <n v="0"/>
    <n v="0"/>
    <m/>
    <n v="0"/>
    <n v="0"/>
    <n v="0"/>
    <m/>
    <n v="0"/>
  </r>
  <r>
    <x v="0"/>
    <s v="Alabama State University "/>
    <n v="100724"/>
    <x v="3"/>
    <s v="sem"/>
    <s v="sem"/>
    <m/>
    <m/>
    <n v="58593"/>
    <n v="62082"/>
    <n v="12139"/>
    <n v="13211"/>
    <n v="65793"/>
    <n v="65251"/>
    <n v="136525"/>
    <n v="0"/>
    <s v="—"/>
    <n v="4550.833333333333"/>
    <n v="140544"/>
    <n v="0"/>
    <s v="—"/>
    <n v="4684.8"/>
    <m/>
    <m/>
    <m/>
    <m/>
    <m/>
    <m/>
    <m/>
    <m/>
    <n v="0"/>
    <n v="0"/>
    <m/>
    <n v="0"/>
    <n v="0"/>
    <n v="0"/>
    <m/>
    <n v="0"/>
  </r>
  <r>
    <x v="0"/>
    <s v="Auburn University at Montgomery"/>
    <n v="100830"/>
    <x v="3"/>
    <s v="sem"/>
    <s v="sem"/>
    <m/>
    <m/>
    <n v="45309"/>
    <n v="46131"/>
    <n v="16266"/>
    <n v="16461"/>
    <n v="49076"/>
    <n v="51167"/>
    <n v="110651"/>
    <n v="0"/>
    <s v="—"/>
    <n v="3688.3666666666668"/>
    <n v="113759"/>
    <n v="0"/>
    <s v="—"/>
    <n v="3791.9666666666667"/>
    <m/>
    <m/>
    <m/>
    <m/>
    <m/>
    <m/>
    <m/>
    <m/>
    <n v="0"/>
    <n v="0"/>
    <m/>
    <n v="0"/>
    <n v="0"/>
    <n v="0"/>
    <m/>
    <n v="0"/>
  </r>
  <r>
    <x v="0"/>
    <s v="Troy University"/>
    <n v="102368"/>
    <x v="3"/>
    <s v="sem"/>
    <s v="sem"/>
    <m/>
    <m/>
    <n v="127813"/>
    <n v="125365"/>
    <n v="38008"/>
    <n v="35773"/>
    <n v="137988"/>
    <n v="142550"/>
    <n v="303809"/>
    <n v="0"/>
    <s v="—"/>
    <n v="10126.966666666667"/>
    <n v="303688"/>
    <n v="0"/>
    <s v="—"/>
    <n v="10122.933333333332"/>
    <m/>
    <m/>
    <m/>
    <m/>
    <m/>
    <m/>
    <m/>
    <m/>
    <n v="0"/>
    <n v="0"/>
    <m/>
    <n v="0"/>
    <n v="0"/>
    <n v="0"/>
    <m/>
    <n v="0"/>
  </r>
  <r>
    <x v="0"/>
    <s v="University of North Alabama"/>
    <n v="101879"/>
    <x v="3"/>
    <s v="sem"/>
    <s v="sem"/>
    <m/>
    <m/>
    <n v="66006"/>
    <n v="67070"/>
    <n v="13749"/>
    <n v="13519"/>
    <n v="73381"/>
    <n v="72521"/>
    <n v="153136"/>
    <n v="0"/>
    <s v="—"/>
    <n v="5104.5333333333338"/>
    <n v="153110"/>
    <n v="0"/>
    <s v="—"/>
    <n v="5103.666666666667"/>
    <m/>
    <m/>
    <m/>
    <m/>
    <m/>
    <m/>
    <m/>
    <m/>
    <n v="0"/>
    <n v="0"/>
    <m/>
    <n v="0"/>
    <n v="0"/>
    <n v="0"/>
    <m/>
    <n v="0"/>
  </r>
  <r>
    <x v="0"/>
    <s v="University of Montevallo"/>
    <n v="101709"/>
    <x v="4"/>
    <s v="sem"/>
    <s v="sem"/>
    <m/>
    <m/>
    <n v="29956"/>
    <n v="30842"/>
    <n v="6240"/>
    <n v="6302"/>
    <n v="33726"/>
    <n v="34234"/>
    <n v="69922"/>
    <n v="0"/>
    <s v="—"/>
    <n v="2330.7333333333331"/>
    <n v="71378"/>
    <n v="0"/>
    <s v="—"/>
    <n v="2379.2666666666669"/>
    <m/>
    <m/>
    <m/>
    <m/>
    <m/>
    <m/>
    <m/>
    <m/>
    <n v="0"/>
    <n v="0"/>
    <m/>
    <n v="0"/>
    <n v="0"/>
    <n v="0"/>
    <m/>
    <n v="0"/>
  </r>
  <r>
    <x v="0"/>
    <s v="University of West Alabama"/>
    <n v="101587"/>
    <x v="4"/>
    <s v="sem"/>
    <s v="sem"/>
    <m/>
    <m/>
    <n v="21100"/>
    <n v="20971"/>
    <n v="5513"/>
    <n v="5664"/>
    <n v="23357"/>
    <n v="23435"/>
    <n v="49970"/>
    <n v="0"/>
    <s v="—"/>
    <n v="1665.6666666666667"/>
    <n v="50070"/>
    <n v="0"/>
    <s v="—"/>
    <n v="1669"/>
    <m/>
    <m/>
    <m/>
    <m/>
    <m/>
    <m/>
    <m/>
    <m/>
    <n v="0"/>
    <n v="0"/>
    <m/>
    <n v="0"/>
    <n v="0"/>
    <n v="0"/>
    <m/>
    <n v="0"/>
  </r>
  <r>
    <x v="0"/>
    <s v="Athens State University"/>
    <n v="100812"/>
    <x v="5"/>
    <s v="sem"/>
    <s v="sem"/>
    <m/>
    <m/>
    <n v="26504"/>
    <n v="28160"/>
    <n v="18041"/>
    <n v="19732"/>
    <n v="29034"/>
    <n v="31799"/>
    <n v="73579"/>
    <n v="0"/>
    <s v="—"/>
    <n v="2452.6333333333332"/>
    <n v="79691"/>
    <n v="0"/>
    <s v="—"/>
    <n v="2656.3666666666668"/>
    <m/>
    <m/>
    <m/>
    <m/>
    <m/>
    <m/>
    <m/>
    <m/>
    <n v="0"/>
    <n v="0"/>
    <m/>
    <n v="0"/>
    <n v="0"/>
    <n v="0"/>
    <m/>
    <n v="0"/>
  </r>
  <r>
    <x v="0"/>
    <s v="Jefferson State Community College"/>
    <n v="101505"/>
    <x v="6"/>
    <s v="sem"/>
    <s v="sem"/>
    <m/>
    <m/>
    <n v="63838"/>
    <n v="65302"/>
    <n v="34714"/>
    <n v="34415"/>
    <n v="68570"/>
    <n v="70740"/>
    <n v="167122"/>
    <n v="0"/>
    <s v="—"/>
    <n v="5570.7333333333336"/>
    <n v="170457"/>
    <n v="0"/>
    <s v="—"/>
    <n v="5681.9"/>
    <m/>
    <m/>
    <m/>
    <m/>
    <m/>
    <m/>
    <m/>
    <m/>
    <n v="0"/>
    <n v="0"/>
    <m/>
    <n v="0"/>
    <n v="0"/>
    <n v="0"/>
    <m/>
    <n v="0"/>
  </r>
  <r>
    <x v="0"/>
    <s v="John C. Calhoun State Community College "/>
    <n v="101514"/>
    <x v="6"/>
    <s v="sem"/>
    <s v="sem"/>
    <m/>
    <m/>
    <n v="72232"/>
    <n v="80505"/>
    <n v="31164"/>
    <n v="34630"/>
    <n v="82799"/>
    <n v="89719"/>
    <n v="186195"/>
    <n v="0"/>
    <s v="—"/>
    <n v="6206.5"/>
    <n v="204854"/>
    <n v="0"/>
    <s v="—"/>
    <n v="6828.4666666666662"/>
    <m/>
    <m/>
    <m/>
    <m/>
    <m/>
    <m/>
    <m/>
    <m/>
    <n v="0"/>
    <n v="0"/>
    <m/>
    <n v="0"/>
    <n v="0"/>
    <n v="0"/>
    <m/>
    <n v="0"/>
  </r>
  <r>
    <x v="0"/>
    <s v="Bevill State Community College"/>
    <n v="102429"/>
    <x v="7"/>
    <s v="sem"/>
    <s v="sem"/>
    <m/>
    <m/>
    <n v="42196"/>
    <n v="42974"/>
    <n v="19416"/>
    <n v="19778"/>
    <n v="44396"/>
    <n v="43155"/>
    <n v="106008"/>
    <n v="0"/>
    <s v="—"/>
    <n v="3533.6"/>
    <n v="105907"/>
    <n v="0"/>
    <s v="—"/>
    <n v="3530.2333333333331"/>
    <m/>
    <m/>
    <m/>
    <m/>
    <m/>
    <m/>
    <m/>
    <m/>
    <n v="0"/>
    <n v="0"/>
    <m/>
    <n v="0"/>
    <n v="0"/>
    <n v="0"/>
    <m/>
    <n v="0"/>
  </r>
  <r>
    <x v="0"/>
    <s v="Bishop State Community College"/>
    <n v="102030"/>
    <x v="7"/>
    <s v="sem"/>
    <s v="sem"/>
    <m/>
    <m/>
    <n v="32382"/>
    <n v="22251"/>
    <n v="10927"/>
    <n v="8717"/>
    <n v="24422"/>
    <n v="27823"/>
    <n v="67731"/>
    <n v="0"/>
    <s v="—"/>
    <n v="2257.6999999999998"/>
    <n v="58791"/>
    <n v="0"/>
    <s v="—"/>
    <n v="1959.7"/>
    <m/>
    <m/>
    <m/>
    <m/>
    <m/>
    <m/>
    <m/>
    <m/>
    <n v="0"/>
    <n v="0"/>
    <m/>
    <n v="0"/>
    <n v="0"/>
    <n v="0"/>
    <m/>
    <n v="0"/>
  </r>
  <r>
    <x v="0"/>
    <s v="Gadsden State Community College"/>
    <n v="101240"/>
    <x v="7"/>
    <s v="sem"/>
    <s v="sem"/>
    <m/>
    <m/>
    <n v="52629"/>
    <n v="53216"/>
    <n v="25962"/>
    <n v="27380"/>
    <n v="56900"/>
    <n v="61052"/>
    <n v="135491"/>
    <n v="0"/>
    <s v="—"/>
    <n v="4516.3666666666668"/>
    <n v="141648"/>
    <n v="0"/>
    <s v="—"/>
    <n v="4721.6000000000004"/>
    <m/>
    <m/>
    <m/>
    <m/>
    <m/>
    <m/>
    <m/>
    <m/>
    <n v="0"/>
    <n v="0"/>
    <m/>
    <n v="0"/>
    <n v="0"/>
    <n v="0"/>
    <m/>
    <n v="0"/>
  </r>
  <r>
    <x v="0"/>
    <s v="George C. Wallace State Community College - Dothan"/>
    <n v="101286"/>
    <x v="7"/>
    <s v="sem"/>
    <s v="sem"/>
    <m/>
    <m/>
    <n v="33539"/>
    <n v="35225"/>
    <n v="19963"/>
    <n v="21510"/>
    <n v="37750"/>
    <n v="40573"/>
    <n v="91252"/>
    <n v="0"/>
    <s v="—"/>
    <n v="3041.7333333333331"/>
    <n v="97308"/>
    <n v="0"/>
    <s v="—"/>
    <n v="3243.6"/>
    <m/>
    <m/>
    <m/>
    <m/>
    <m/>
    <m/>
    <m/>
    <m/>
    <n v="0"/>
    <n v="0"/>
    <m/>
    <n v="0"/>
    <n v="0"/>
    <n v="0"/>
    <m/>
    <n v="0"/>
  </r>
  <r>
    <x v="0"/>
    <s v="James H. Faulkner State Community College"/>
    <n v="101161"/>
    <x v="7"/>
    <s v="sem"/>
    <s v="sem"/>
    <m/>
    <m/>
    <n v="34990"/>
    <n v="37198"/>
    <n v="15113"/>
    <n v="16171"/>
    <n v="39690"/>
    <n v="39679"/>
    <n v="89793"/>
    <n v="0"/>
    <s v="—"/>
    <n v="2993.1"/>
    <n v="93048"/>
    <n v="0"/>
    <s v="—"/>
    <n v="3101.6"/>
    <m/>
    <m/>
    <m/>
    <m/>
    <m/>
    <m/>
    <m/>
    <m/>
    <n v="0"/>
    <n v="0"/>
    <m/>
    <n v="0"/>
    <n v="0"/>
    <n v="0"/>
    <m/>
    <n v="0"/>
  </r>
  <r>
    <x v="0"/>
    <s v="Lawson State Community College "/>
    <n v="101569"/>
    <x v="7"/>
    <s v="sem"/>
    <s v="sem"/>
    <m/>
    <m/>
    <n v="29165"/>
    <n v="31205"/>
    <n v="14653"/>
    <n v="14691"/>
    <n v="33777"/>
    <n v="36591"/>
    <n v="77595"/>
    <n v="0"/>
    <s v="—"/>
    <n v="2586.5"/>
    <n v="82487"/>
    <n v="0"/>
    <s v="—"/>
    <n v="2749.5666666666666"/>
    <m/>
    <m/>
    <m/>
    <m/>
    <m/>
    <m/>
    <m/>
    <m/>
    <n v="0"/>
    <n v="0"/>
    <m/>
    <n v="0"/>
    <n v="0"/>
    <n v="0"/>
    <m/>
    <n v="0"/>
  </r>
  <r>
    <x v="0"/>
    <s v="Northwest-Shoals Community College"/>
    <n v="101736"/>
    <x v="7"/>
    <s v="sem"/>
    <s v="sem"/>
    <m/>
    <m/>
    <n v="34123"/>
    <n v="34598"/>
    <n v="13324"/>
    <n v="13352"/>
    <n v="37039"/>
    <n v="39307"/>
    <n v="84486"/>
    <n v="0"/>
    <s v="—"/>
    <n v="2816.2"/>
    <n v="87257"/>
    <n v="0"/>
    <s v="—"/>
    <n v="2908.5666666666666"/>
    <m/>
    <m/>
    <m/>
    <m/>
    <m/>
    <m/>
    <m/>
    <m/>
    <n v="0"/>
    <n v="0"/>
    <m/>
    <n v="0"/>
    <n v="0"/>
    <n v="0"/>
    <m/>
    <n v="0"/>
  </r>
  <r>
    <x v="0"/>
    <s v="Shelton State Community College"/>
    <n v="102067"/>
    <x v="7"/>
    <s v="sem"/>
    <s v="sem"/>
    <m/>
    <m/>
    <n v="52802"/>
    <n v="48539"/>
    <n v="25009"/>
    <n v="24349"/>
    <n v="54698"/>
    <n v="57506"/>
    <n v="132509"/>
    <n v="0"/>
    <s v="—"/>
    <n v="4416.9666666666662"/>
    <n v="130394"/>
    <n v="0"/>
    <s v="—"/>
    <n v="4346.4666666666662"/>
    <m/>
    <m/>
    <m/>
    <m/>
    <m/>
    <m/>
    <m/>
    <m/>
    <n v="0"/>
    <n v="0"/>
    <m/>
    <n v="0"/>
    <n v="0"/>
    <n v="0"/>
    <m/>
    <n v="0"/>
  </r>
  <r>
    <x v="0"/>
    <s v="Southern Union State Community College"/>
    <n v="251260"/>
    <x v="7"/>
    <s v="sem"/>
    <s v="sem"/>
    <m/>
    <m/>
    <n v="49353"/>
    <n v="50763"/>
    <n v="22188"/>
    <n v="23506"/>
    <n v="55327"/>
    <n v="55765"/>
    <n v="126868"/>
    <n v="0"/>
    <s v="—"/>
    <n v="4228.9333333333334"/>
    <n v="130034"/>
    <n v="0"/>
    <s v="—"/>
    <n v="4334.4666666666662"/>
    <m/>
    <m/>
    <m/>
    <m/>
    <m/>
    <m/>
    <m/>
    <m/>
    <n v="0"/>
    <n v="0"/>
    <m/>
    <n v="0"/>
    <n v="0"/>
    <n v="0"/>
    <m/>
    <n v="0"/>
  </r>
  <r>
    <x v="0"/>
    <s v="Wallace Community College - Hanceville"/>
    <n v="101295"/>
    <x v="7"/>
    <s v="sem"/>
    <s v="sem"/>
    <m/>
    <m/>
    <n v="53353"/>
    <n v="56083"/>
    <n v="24411"/>
    <n v="25950"/>
    <n v="56596"/>
    <n v="59763"/>
    <n v="134360"/>
    <n v="0"/>
    <s v="—"/>
    <n v="4478.666666666667"/>
    <n v="141796"/>
    <n v="0"/>
    <s v="—"/>
    <n v="4726.5333333333338"/>
    <m/>
    <m/>
    <m/>
    <m/>
    <m/>
    <m/>
    <m/>
    <m/>
    <n v="0"/>
    <n v="0"/>
    <m/>
    <n v="0"/>
    <n v="0"/>
    <n v="0"/>
    <m/>
    <n v="0"/>
  </r>
  <r>
    <x v="0"/>
    <s v="Alabama Southern Community College"/>
    <n v="101949"/>
    <x v="8"/>
    <s v="sem"/>
    <s v="sem"/>
    <m/>
    <m/>
    <n v="13598"/>
    <n v="12753"/>
    <n v="5779"/>
    <n v="5880"/>
    <n v="13771"/>
    <n v="14803"/>
    <n v="33148"/>
    <n v="0"/>
    <s v="—"/>
    <n v="1104.9333333333334"/>
    <n v="33436"/>
    <n v="0"/>
    <s v="—"/>
    <n v="1114.5333333333333"/>
    <m/>
    <m/>
    <m/>
    <m/>
    <m/>
    <m/>
    <m/>
    <m/>
    <n v="0"/>
    <n v="0"/>
    <m/>
    <n v="0"/>
    <n v="0"/>
    <n v="0"/>
    <m/>
    <n v="0"/>
  </r>
  <r>
    <x v="0"/>
    <s v="Central Alabama Community College"/>
    <n v="100760"/>
    <x v="8"/>
    <s v="sem"/>
    <s v="sem"/>
    <m/>
    <m/>
    <n v="22696"/>
    <n v="22591"/>
    <n v="11288"/>
    <n v="10852"/>
    <n v="23083"/>
    <n v="23790"/>
    <n v="57067"/>
    <n v="0"/>
    <s v="—"/>
    <n v="1902.2333333333333"/>
    <n v="57233"/>
    <n v="0"/>
    <s v="—"/>
    <n v="1907.7666666666667"/>
    <m/>
    <m/>
    <m/>
    <m/>
    <m/>
    <m/>
    <m/>
    <m/>
    <n v="0"/>
    <n v="0"/>
    <m/>
    <n v="0"/>
    <n v="0"/>
    <n v="0"/>
    <m/>
    <n v="0"/>
  </r>
  <r>
    <x v="0"/>
    <s v="Chattahoochee Valley State Community College "/>
    <n v="101028"/>
    <x v="8"/>
    <s v="sem"/>
    <s v="sem"/>
    <m/>
    <m/>
    <n v="18620"/>
    <n v="16915"/>
    <n v="7636"/>
    <n v="7416"/>
    <n v="17777"/>
    <n v="18628"/>
    <n v="44033"/>
    <n v="0"/>
    <s v="—"/>
    <n v="1467.7666666666667"/>
    <n v="42959"/>
    <n v="0"/>
    <s v="—"/>
    <n v="1431.9666666666667"/>
    <m/>
    <m/>
    <m/>
    <m/>
    <m/>
    <m/>
    <m/>
    <m/>
    <n v="0"/>
    <n v="0"/>
    <m/>
    <n v="0"/>
    <n v="0"/>
    <n v="0"/>
    <m/>
    <n v="0"/>
  </r>
  <r>
    <x v="0"/>
    <s v="Enterprise-Ozark Community College"/>
    <n v="101143"/>
    <x v="8"/>
    <s v="sem"/>
    <s v="sem"/>
    <m/>
    <m/>
    <n v="20044"/>
    <n v="22691"/>
    <n v="10064"/>
    <n v="11692"/>
    <n v="23521"/>
    <n v="25571"/>
    <n v="53629"/>
    <n v="0"/>
    <s v="—"/>
    <n v="1787.6333333333334"/>
    <n v="59954"/>
    <n v="0"/>
    <s v="—"/>
    <n v="1998.4666666666667"/>
    <m/>
    <m/>
    <m/>
    <m/>
    <m/>
    <m/>
    <m/>
    <m/>
    <n v="0"/>
    <n v="0"/>
    <m/>
    <n v="0"/>
    <n v="0"/>
    <n v="0"/>
    <m/>
    <n v="0"/>
  </r>
  <r>
    <x v="0"/>
    <s v="George Corley Wallace State Community College - Selma"/>
    <n v="101301"/>
    <x v="8"/>
    <s v="sem"/>
    <s v="sem"/>
    <m/>
    <m/>
    <n v="18029"/>
    <n v="19041"/>
    <n v="11202"/>
    <n v="13452"/>
    <n v="18514"/>
    <n v="20020"/>
    <n v="47745"/>
    <n v="0"/>
    <s v="—"/>
    <n v="1591.5"/>
    <n v="52513"/>
    <n v="0"/>
    <s v="—"/>
    <n v="1750.4333333333334"/>
    <m/>
    <m/>
    <m/>
    <m/>
    <m/>
    <m/>
    <m/>
    <m/>
    <n v="0"/>
    <n v="0"/>
    <m/>
    <n v="0"/>
    <n v="0"/>
    <n v="0"/>
    <m/>
    <n v="0"/>
  </r>
  <r>
    <x v="0"/>
    <s v="Jefferson Davis Community College"/>
    <n v="101499"/>
    <x v="8"/>
    <s v="sem"/>
    <s v="sem"/>
    <m/>
    <m/>
    <n v="12934"/>
    <n v="12452"/>
    <n v="6248"/>
    <n v="6323"/>
    <n v="13448"/>
    <n v="12551"/>
    <n v="32630"/>
    <n v="0"/>
    <s v="—"/>
    <n v="1087.6666666666667"/>
    <n v="31326"/>
    <n v="0"/>
    <s v="—"/>
    <n v="1044.2"/>
    <m/>
    <m/>
    <m/>
    <m/>
    <m/>
    <m/>
    <m/>
    <m/>
    <n v="0"/>
    <n v="0"/>
    <m/>
    <n v="0"/>
    <n v="0"/>
    <n v="0"/>
    <m/>
    <n v="0"/>
  </r>
  <r>
    <x v="0"/>
    <s v="Lurleen B. Wallace Community College "/>
    <n v="101602"/>
    <x v="8"/>
    <s v="sem"/>
    <s v="sem"/>
    <m/>
    <m/>
    <n v="15163"/>
    <n v="16301"/>
    <n v="8145"/>
    <n v="8088"/>
    <n v="17247"/>
    <n v="17684"/>
    <n v="40555"/>
    <n v="0"/>
    <s v="—"/>
    <n v="1351.8333333333333"/>
    <n v="42073"/>
    <n v="0"/>
    <s v="—"/>
    <n v="1402.4333333333334"/>
    <m/>
    <m/>
    <m/>
    <m/>
    <m/>
    <m/>
    <m/>
    <m/>
    <n v="0"/>
    <n v="0"/>
    <m/>
    <n v="0"/>
    <n v="0"/>
    <n v="0"/>
    <m/>
    <n v="0"/>
  </r>
  <r>
    <x v="0"/>
    <s v="Northeast Alabama State Community College "/>
    <n v="101897"/>
    <x v="8"/>
    <s v="sem"/>
    <s v="sem"/>
    <m/>
    <m/>
    <n v="22742"/>
    <n v="23798"/>
    <n v="10122"/>
    <n v="10566"/>
    <n v="25214"/>
    <n v="28468"/>
    <n v="58078"/>
    <n v="0"/>
    <s v="—"/>
    <n v="1935.9333333333334"/>
    <n v="62832"/>
    <n v="0"/>
    <s v="—"/>
    <n v="2094.4"/>
    <m/>
    <m/>
    <m/>
    <m/>
    <m/>
    <m/>
    <m/>
    <m/>
    <n v="0"/>
    <n v="0"/>
    <m/>
    <n v="0"/>
    <n v="0"/>
    <n v="0"/>
    <m/>
    <n v="0"/>
  </r>
  <r>
    <x v="0"/>
    <s v="Snead State Community College "/>
    <n v="102076"/>
    <x v="8"/>
    <s v="sem"/>
    <s v="sem"/>
    <m/>
    <m/>
    <n v="20731"/>
    <n v="21524"/>
    <n v="8079"/>
    <n v="8752"/>
    <n v="22615"/>
    <n v="23414"/>
    <n v="51425"/>
    <n v="0"/>
    <s v="—"/>
    <n v="1714.1666666666667"/>
    <n v="53690"/>
    <n v="0"/>
    <s v="—"/>
    <n v="1789.6666666666667"/>
    <m/>
    <m/>
    <m/>
    <m/>
    <m/>
    <m/>
    <m/>
    <m/>
    <n v="0"/>
    <n v="0"/>
    <m/>
    <n v="0"/>
    <n v="0"/>
    <n v="0"/>
    <m/>
    <n v="0"/>
  </r>
  <r>
    <x v="0"/>
    <s v="Trenholm State Technical College "/>
    <n v="102313"/>
    <x v="9"/>
    <s v="sem"/>
    <s v="sem"/>
    <m/>
    <m/>
    <n v="13045"/>
    <n v="13051"/>
    <n v="9496"/>
    <n v="9703"/>
    <n v="13675"/>
    <n v="14004"/>
    <n v="36216"/>
    <n v="0"/>
    <s v="—"/>
    <n v="1207.2"/>
    <n v="36758"/>
    <n v="0"/>
    <s v="—"/>
    <n v="1225.2666666666667"/>
    <m/>
    <m/>
    <m/>
    <m/>
    <m/>
    <m/>
    <m/>
    <m/>
    <n v="0"/>
    <n v="0"/>
    <m/>
    <n v="0"/>
    <n v="0"/>
    <n v="0"/>
    <m/>
    <n v="0"/>
  </r>
  <r>
    <x v="0"/>
    <s v="J.F. Drake State Technical College "/>
    <n v="101462"/>
    <x v="10"/>
    <s v="sem"/>
    <s v="sem"/>
    <m/>
    <m/>
    <n v="6638"/>
    <n v="6902"/>
    <n v="4004"/>
    <n v="3944"/>
    <n v="7535"/>
    <n v="8662"/>
    <n v="18177"/>
    <n v="0"/>
    <s v="—"/>
    <n v="605.9"/>
    <n v="19508"/>
    <n v="0"/>
    <s v="—"/>
    <n v="650.26666666666665"/>
    <m/>
    <m/>
    <m/>
    <m/>
    <m/>
    <m/>
    <m/>
    <m/>
    <n v="0"/>
    <n v="0"/>
    <m/>
    <n v="0"/>
    <n v="0"/>
    <n v="0"/>
    <m/>
    <n v="0"/>
  </r>
  <r>
    <x v="0"/>
    <s v="J.F. Ingram State Technical College "/>
    <n v="101471"/>
    <x v="10"/>
    <s v="sem"/>
    <s v="sem"/>
    <m/>
    <m/>
    <n v="8007"/>
    <n v="6994"/>
    <n v="7411"/>
    <n v="6866"/>
    <n v="7899"/>
    <n v="7565"/>
    <n v="23317"/>
    <n v="0"/>
    <s v="—"/>
    <n v="777.23333333333335"/>
    <n v="21425"/>
    <n v="0"/>
    <s v="—"/>
    <n v="714.16666666666663"/>
    <m/>
    <m/>
    <m/>
    <m/>
    <m/>
    <m/>
    <m/>
    <m/>
    <n v="0"/>
    <n v="0"/>
    <m/>
    <n v="0"/>
    <n v="0"/>
    <n v="0"/>
    <m/>
    <n v="0"/>
  </r>
  <r>
    <x v="0"/>
    <s v="Reid State Technical College "/>
    <n v="101994"/>
    <x v="10"/>
    <s v="sem"/>
    <s v="sem"/>
    <m/>
    <m/>
    <n v="4901"/>
    <n v="5274"/>
    <n v="3289"/>
    <n v="3811"/>
    <n v="6208"/>
    <n v="6547"/>
    <n v="14398"/>
    <n v="0"/>
    <s v="—"/>
    <n v="479.93333333333334"/>
    <n v="15632"/>
    <n v="0"/>
    <s v="—"/>
    <n v="521.06666666666672"/>
    <m/>
    <m/>
    <m/>
    <m/>
    <m/>
    <m/>
    <m/>
    <m/>
    <n v="0"/>
    <n v="0"/>
    <m/>
    <n v="0"/>
    <n v="0"/>
    <n v="0"/>
    <m/>
    <n v="0"/>
  </r>
  <r>
    <x v="0"/>
    <s v="Marion Military Institute"/>
    <n v="101648"/>
    <x v="11"/>
    <m/>
    <m/>
    <m/>
    <m/>
    <m/>
    <n v="5779"/>
    <m/>
    <m/>
    <m/>
    <n v="7110"/>
    <n v="0"/>
    <n v="0"/>
    <s v="—"/>
    <n v="0"/>
    <n v="12889"/>
    <n v="0"/>
    <s v="—"/>
    <n v="429.63333333333333"/>
    <m/>
    <m/>
    <m/>
    <m/>
    <m/>
    <m/>
    <m/>
    <m/>
    <n v="0"/>
    <n v="0"/>
    <m/>
    <n v="0"/>
    <n v="0"/>
    <n v="0"/>
    <m/>
    <n v="0"/>
  </r>
  <r>
    <x v="1"/>
    <s v="University of Arkansas, Fayetteville"/>
    <n v="106397"/>
    <x v="0"/>
    <s v="sem"/>
    <s v="sem"/>
    <m/>
    <m/>
    <n v="177483"/>
    <n v="185896"/>
    <n v="33368"/>
    <n v="34584"/>
    <n v="199268"/>
    <n v="207970"/>
    <n v="410119"/>
    <n v="410119"/>
    <n v="159"/>
    <n v="13670.633333333333"/>
    <n v="428450"/>
    <n v="428450"/>
    <n v="101"/>
    <n v="14281.666666666666"/>
    <m/>
    <m/>
    <m/>
    <m/>
    <m/>
    <m/>
    <m/>
    <m/>
    <n v="0"/>
    <n v="0"/>
    <m/>
    <n v="0"/>
    <n v="0"/>
    <n v="0"/>
    <m/>
    <n v="0"/>
  </r>
  <r>
    <x v="1"/>
    <s v="Arkansas State University"/>
    <n v="106458"/>
    <x v="2"/>
    <s v="sem"/>
    <s v="sem"/>
    <m/>
    <m/>
    <n v="110427"/>
    <n v="115710"/>
    <n v="18184"/>
    <n v="20573"/>
    <n v="123196"/>
    <n v="123547"/>
    <n v="251807"/>
    <n v="251807"/>
    <n v="3592"/>
    <n v="8393.5666666666675"/>
    <n v="259830"/>
    <n v="259830"/>
    <n v="3632"/>
    <n v="8661"/>
    <m/>
    <m/>
    <m/>
    <m/>
    <m/>
    <m/>
    <m/>
    <m/>
    <n v="0"/>
    <n v="0"/>
    <m/>
    <n v="0"/>
    <n v="0"/>
    <n v="0"/>
    <m/>
    <n v="0"/>
  </r>
  <r>
    <x v="1"/>
    <s v="University of Arkansas at Little Rock"/>
    <n v="106245"/>
    <x v="2"/>
    <s v="sem"/>
    <s v="sem"/>
    <m/>
    <m/>
    <n v="92342"/>
    <n v="93281"/>
    <n v="21380"/>
    <n v="21520"/>
    <n v="98628"/>
    <n v="98346"/>
    <n v="212350"/>
    <n v="212350"/>
    <n v="4148"/>
    <n v="7078.333333333333"/>
    <n v="213147"/>
    <n v="213147"/>
    <n v="6221"/>
    <n v="7104.9"/>
    <m/>
    <m/>
    <m/>
    <m/>
    <m/>
    <m/>
    <m/>
    <m/>
    <n v="0"/>
    <n v="0"/>
    <m/>
    <n v="0"/>
    <n v="0"/>
    <n v="0"/>
    <m/>
    <n v="0"/>
  </r>
  <r>
    <x v="1"/>
    <s v="University of Central Arkansas "/>
    <n v="106704"/>
    <x v="2"/>
    <s v="sem"/>
    <s v="sem"/>
    <m/>
    <m/>
    <n v="135770"/>
    <n v="131445"/>
    <n v="17333"/>
    <n v="18673"/>
    <n v="143679"/>
    <n v="145326"/>
    <n v="296782"/>
    <n v="296782"/>
    <n v="5024"/>
    <n v="9892.7333333333336"/>
    <n v="295444"/>
    <n v="295444"/>
    <n v="9740"/>
    <n v="9848.1333333333332"/>
    <m/>
    <m/>
    <m/>
    <m/>
    <m/>
    <m/>
    <m/>
    <m/>
    <n v="0"/>
    <n v="0"/>
    <m/>
    <n v="0"/>
    <n v="0"/>
    <n v="0"/>
    <m/>
    <n v="0"/>
  </r>
  <r>
    <x v="1"/>
    <s v="Arkansas Tech University"/>
    <n v="106467"/>
    <x v="3"/>
    <s v="sem"/>
    <s v="sem"/>
    <m/>
    <m/>
    <n v="81485"/>
    <n v="84096"/>
    <n v="14282"/>
    <n v="14102"/>
    <n v="92267"/>
    <n v="93317"/>
    <n v="188034"/>
    <n v="188034"/>
    <n v="1534"/>
    <n v="6267.8"/>
    <n v="191515"/>
    <n v="191515"/>
    <n v="2544"/>
    <n v="6383.833333333333"/>
    <m/>
    <m/>
    <m/>
    <m/>
    <m/>
    <m/>
    <m/>
    <m/>
    <n v="0"/>
    <n v="0"/>
    <m/>
    <n v="0"/>
    <n v="0"/>
    <n v="0"/>
    <m/>
    <n v="0"/>
  </r>
  <r>
    <x v="1"/>
    <s v="Henderson State University"/>
    <n v="107071"/>
    <x v="3"/>
    <s v="sem"/>
    <s v="sem"/>
    <m/>
    <m/>
    <n v="37398"/>
    <n v="39598"/>
    <n v="5762"/>
    <n v="5788"/>
    <n v="43236"/>
    <n v="43165"/>
    <n v="86396"/>
    <n v="86396"/>
    <n v="130"/>
    <n v="2879.8666666666668"/>
    <n v="88551"/>
    <n v="88551"/>
    <n v="119"/>
    <n v="2951.7"/>
    <m/>
    <m/>
    <m/>
    <m/>
    <m/>
    <m/>
    <m/>
    <m/>
    <n v="0"/>
    <n v="0"/>
    <m/>
    <n v="0"/>
    <n v="0"/>
    <n v="0"/>
    <m/>
    <n v="0"/>
  </r>
  <r>
    <x v="1"/>
    <s v="Southern Arkansas University"/>
    <n v="107983"/>
    <x v="4"/>
    <s v="sem"/>
    <s v="sem"/>
    <m/>
    <m/>
    <n v="35364"/>
    <n v="34412"/>
    <n v="4754"/>
    <n v="4183"/>
    <n v="38408"/>
    <n v="36735"/>
    <n v="78526"/>
    <n v="78526"/>
    <n v="608"/>
    <n v="2617.5333333333333"/>
    <n v="75330"/>
    <n v="75330"/>
    <n v="606"/>
    <n v="2511"/>
    <m/>
    <m/>
    <m/>
    <m/>
    <m/>
    <m/>
    <m/>
    <m/>
    <n v="0"/>
    <n v="0"/>
    <m/>
    <n v="0"/>
    <n v="0"/>
    <n v="0"/>
    <m/>
    <n v="0"/>
  </r>
  <r>
    <x v="1"/>
    <s v="University of Arkansas at Monticello"/>
    <n v="106485"/>
    <x v="4"/>
    <s v="sem"/>
    <s v="sem"/>
    <m/>
    <m/>
    <n v="34199"/>
    <n v="34789"/>
    <n v="7119"/>
    <n v="7289"/>
    <n v="36629"/>
    <n v="37200"/>
    <n v="77947"/>
    <n v="77947"/>
    <n v="3438"/>
    <n v="2598.2333333333331"/>
    <n v="79278"/>
    <n v="79278"/>
    <n v="3573"/>
    <n v="2642.6"/>
    <m/>
    <m/>
    <m/>
    <m/>
    <m/>
    <m/>
    <m/>
    <m/>
    <n v="0"/>
    <n v="0"/>
    <m/>
    <n v="0"/>
    <n v="0"/>
    <n v="0"/>
    <m/>
    <n v="0"/>
  </r>
  <r>
    <x v="1"/>
    <s v="University of Arkansas at Fort Smith"/>
    <n v="108092"/>
    <x v="5"/>
    <s v="sem"/>
    <s v="sem"/>
    <m/>
    <m/>
    <n v="67149"/>
    <n v="68327"/>
    <n v="16218"/>
    <n v="15854"/>
    <n v="73428"/>
    <n v="77193"/>
    <n v="156795"/>
    <n v="156795"/>
    <n v="7465"/>
    <n v="5226.5"/>
    <n v="161374"/>
    <n v="161374"/>
    <n v="7284"/>
    <n v="5379.1333333333332"/>
    <m/>
    <m/>
    <m/>
    <m/>
    <m/>
    <m/>
    <m/>
    <m/>
    <n v="0"/>
    <n v="0"/>
    <m/>
    <n v="0"/>
    <n v="0"/>
    <n v="0"/>
    <m/>
    <n v="0"/>
  </r>
  <r>
    <x v="1"/>
    <s v="University of Arkansas at Pine Bluff"/>
    <n v="106412"/>
    <x v="5"/>
    <s v="sem"/>
    <s v="sem"/>
    <m/>
    <m/>
    <n v="35973"/>
    <n v="37374"/>
    <n v="5274"/>
    <n v="5993"/>
    <n v="42283"/>
    <n v="46476"/>
    <n v="83530"/>
    <n v="83530"/>
    <n v="52"/>
    <n v="2784.3333333333335"/>
    <n v="89843"/>
    <n v="89843"/>
    <n v="48"/>
    <n v="2994.7666666666669"/>
    <m/>
    <m/>
    <m/>
    <m/>
    <m/>
    <m/>
    <m/>
    <m/>
    <n v="0"/>
    <n v="0"/>
    <m/>
    <n v="0"/>
    <n v="0"/>
    <n v="0"/>
    <m/>
    <n v="0"/>
  </r>
  <r>
    <x v="1"/>
    <s v="Pulaski Technical College"/>
    <n v="107664"/>
    <x v="6"/>
    <s v="sem"/>
    <s v="sem"/>
    <m/>
    <m/>
    <n v="81309"/>
    <n v="85052"/>
    <n v="17710"/>
    <n v="18015"/>
    <n v="84810"/>
    <n v="87168"/>
    <n v="183829"/>
    <n v="183829"/>
    <n v="3184"/>
    <n v="6127.6333333333332"/>
    <n v="190235"/>
    <n v="190235"/>
    <n v="3025"/>
    <n v="6341.166666666667"/>
    <m/>
    <m/>
    <m/>
    <m/>
    <m/>
    <m/>
    <m/>
    <m/>
    <n v="0"/>
    <n v="0"/>
    <m/>
    <n v="0"/>
    <n v="0"/>
    <n v="0"/>
    <m/>
    <n v="0"/>
  </r>
  <r>
    <x v="1"/>
    <s v="Arkansas State University-Beebe"/>
    <n v="106449"/>
    <x v="7"/>
    <s v="sem"/>
    <s v="sem"/>
    <m/>
    <m/>
    <n v="40320"/>
    <n v="41921"/>
    <n v="9851"/>
    <n v="11003"/>
    <n v="44814"/>
    <n v="45614"/>
    <n v="94985"/>
    <n v="94985"/>
    <n v="6330"/>
    <n v="3166.1666666666665"/>
    <n v="98538"/>
    <n v="98538"/>
    <n v="6630"/>
    <n v="3284.6"/>
    <m/>
    <m/>
    <m/>
    <m/>
    <m/>
    <m/>
    <m/>
    <m/>
    <n v="0"/>
    <n v="0"/>
    <m/>
    <n v="0"/>
    <n v="0"/>
    <n v="0"/>
    <m/>
    <n v="0"/>
  </r>
  <r>
    <x v="1"/>
    <s v="Northwest Arkansas Community College "/>
    <n v="367459"/>
    <x v="7"/>
    <s v="sem"/>
    <s v="sem"/>
    <m/>
    <m/>
    <n v="47682"/>
    <n v="56212"/>
    <n v="10922"/>
    <n v="13549"/>
    <n v="55957"/>
    <n v="63246"/>
    <n v="114561"/>
    <n v="114561"/>
    <n v="6205"/>
    <n v="3818.7"/>
    <n v="133007"/>
    <n v="133007"/>
    <n v="6288"/>
    <n v="4433.5666666666666"/>
    <m/>
    <m/>
    <m/>
    <m/>
    <m/>
    <m/>
    <m/>
    <m/>
    <n v="0"/>
    <n v="0"/>
    <m/>
    <n v="0"/>
    <n v="0"/>
    <n v="0"/>
    <m/>
    <n v="0"/>
  </r>
  <r>
    <x v="1"/>
    <s v="Arkansas Northeastern College"/>
    <n v="107327"/>
    <x v="8"/>
    <s v="sem"/>
    <s v="sem"/>
    <m/>
    <m/>
    <n v="15938"/>
    <n v="14895"/>
    <n v="3503"/>
    <n v="3839"/>
    <n v="16178"/>
    <n v="17242"/>
    <n v="35619"/>
    <n v="35619"/>
    <n v="1368"/>
    <n v="1187.3"/>
    <n v="35976"/>
    <n v="35976"/>
    <n v="1801"/>
    <n v="1199.2"/>
    <m/>
    <m/>
    <m/>
    <m/>
    <m/>
    <m/>
    <m/>
    <m/>
    <n v="0"/>
    <n v="0"/>
    <m/>
    <n v="0"/>
    <n v="0"/>
    <n v="0"/>
    <m/>
    <n v="0"/>
  </r>
  <r>
    <x v="1"/>
    <s v="Arkansas State University Mountain Home"/>
    <n v="420538"/>
    <x v="8"/>
    <s v="sem"/>
    <s v="sem"/>
    <m/>
    <m/>
    <n v="10642"/>
    <n v="11855"/>
    <n v="1959"/>
    <n v="2856"/>
    <n v="11593"/>
    <n v="13187"/>
    <n v="24194"/>
    <n v="24194"/>
    <n v="681"/>
    <n v="806.4666666666667"/>
    <n v="27898"/>
    <n v="27898"/>
    <n v="778"/>
    <n v="929.93333333333328"/>
    <m/>
    <m/>
    <m/>
    <m/>
    <m/>
    <m/>
    <m/>
    <m/>
    <n v="0"/>
    <n v="0"/>
    <m/>
    <n v="0"/>
    <n v="0"/>
    <n v="0"/>
    <m/>
    <n v="0"/>
  </r>
  <r>
    <x v="1"/>
    <s v="Arkansas State University-Newport"/>
    <n v="440402"/>
    <x v="8"/>
    <s v="sem"/>
    <s v="sem"/>
    <m/>
    <m/>
    <n v="10859"/>
    <n v="10644"/>
    <n v="5254"/>
    <n v="5542"/>
    <n v="11118"/>
    <n v="16416"/>
    <n v="27231"/>
    <n v="27231"/>
    <n v="2649"/>
    <n v="907.7"/>
    <n v="32602"/>
    <n v="32602"/>
    <n v="3336"/>
    <n v="1086.7333333333333"/>
    <m/>
    <m/>
    <m/>
    <m/>
    <m/>
    <m/>
    <m/>
    <m/>
    <n v="0"/>
    <n v="0"/>
    <m/>
    <n v="0"/>
    <n v="0"/>
    <n v="0"/>
    <m/>
    <n v="0"/>
  </r>
  <r>
    <x v="1"/>
    <s v="Black River Technical College"/>
    <n v="106625"/>
    <x v="8"/>
    <s v="sem"/>
    <s v="sem"/>
    <m/>
    <m/>
    <n v="19329"/>
    <n v="21310"/>
    <n v="5071"/>
    <n v="5452"/>
    <n v="22039"/>
    <n v="21251"/>
    <n v="46439"/>
    <n v="46439"/>
    <n v="1797"/>
    <n v="1547.9666666666667"/>
    <n v="48013"/>
    <n v="48013"/>
    <n v="1295"/>
    <n v="1600.4333333333334"/>
    <m/>
    <m/>
    <m/>
    <m/>
    <m/>
    <m/>
    <m/>
    <m/>
    <n v="0"/>
    <n v="0"/>
    <m/>
    <n v="0"/>
    <n v="0"/>
    <n v="0"/>
    <m/>
    <n v="0"/>
  </r>
  <r>
    <x v="1"/>
    <s v="Cossatot Community College of the University of Arkansas"/>
    <n v="106795"/>
    <x v="8"/>
    <s v="sem"/>
    <s v="sem"/>
    <m/>
    <m/>
    <n v="11125"/>
    <n v="11464"/>
    <n v="3631"/>
    <n v="3464"/>
    <n v="11170"/>
    <n v="12067"/>
    <n v="25926"/>
    <n v="25926"/>
    <n v="2462"/>
    <n v="864.2"/>
    <n v="26995"/>
    <n v="26995"/>
    <n v="2680"/>
    <n v="899.83333333333337"/>
    <m/>
    <m/>
    <m/>
    <m/>
    <m/>
    <m/>
    <m/>
    <m/>
    <n v="0"/>
    <n v="0"/>
    <m/>
    <n v="0"/>
    <n v="0"/>
    <n v="0"/>
    <m/>
    <n v="0"/>
  </r>
  <r>
    <x v="1"/>
    <s v="East Arkansas Community College "/>
    <n v="106883"/>
    <x v="8"/>
    <s v="sem"/>
    <s v="sem"/>
    <m/>
    <m/>
    <n v="13992"/>
    <n v="13859"/>
    <n v="4470"/>
    <n v="4137"/>
    <n v="15107"/>
    <n v="14072"/>
    <n v="33569"/>
    <n v="33569"/>
    <n v="2305"/>
    <n v="1118.9666666666667"/>
    <n v="32068"/>
    <n v="32068"/>
    <n v="1812"/>
    <n v="1068.9333333333334"/>
    <m/>
    <m/>
    <m/>
    <m/>
    <m/>
    <m/>
    <m/>
    <m/>
    <n v="0"/>
    <n v="0"/>
    <m/>
    <n v="0"/>
    <n v="0"/>
    <n v="0"/>
    <m/>
    <n v="0"/>
  </r>
  <r>
    <x v="1"/>
    <s v="Mid-South Community College "/>
    <n v="107318"/>
    <x v="8"/>
    <s v="sem"/>
    <s v="sem"/>
    <m/>
    <m/>
    <n v="11649"/>
    <n v="11770"/>
    <n v="2881"/>
    <n v="3119"/>
    <n v="12872"/>
    <n v="14077"/>
    <n v="27402"/>
    <n v="27402"/>
    <n v="2932"/>
    <n v="913.4"/>
    <n v="28966"/>
    <n v="28966"/>
    <n v="3457"/>
    <n v="965.5333333333333"/>
    <m/>
    <m/>
    <m/>
    <m/>
    <m/>
    <m/>
    <m/>
    <m/>
    <n v="0"/>
    <n v="0"/>
    <m/>
    <n v="0"/>
    <n v="0"/>
    <n v="0"/>
    <m/>
    <n v="0"/>
  </r>
  <r>
    <x v="1"/>
    <s v="National Park Community College"/>
    <n v="106980"/>
    <x v="8"/>
    <s v="sem"/>
    <s v="sem"/>
    <m/>
    <m/>
    <n v="23942"/>
    <n v="26175"/>
    <n v="5761"/>
    <n v="6144"/>
    <n v="27797"/>
    <n v="31690"/>
    <n v="57500"/>
    <n v="57500"/>
    <n v="3861"/>
    <n v="1916.6666666666667"/>
    <n v="64009"/>
    <n v="64009"/>
    <n v="5237"/>
    <n v="2133.6333333333332"/>
    <m/>
    <m/>
    <m/>
    <m/>
    <m/>
    <m/>
    <m/>
    <m/>
    <n v="0"/>
    <n v="0"/>
    <m/>
    <n v="0"/>
    <n v="0"/>
    <n v="0"/>
    <m/>
    <n v="0"/>
  </r>
  <r>
    <x v="1"/>
    <s v="North Arkansas College"/>
    <n v="107460"/>
    <x v="8"/>
    <s v="sem"/>
    <s v="sem"/>
    <m/>
    <m/>
    <n v="20792"/>
    <n v="21363"/>
    <n v="2663"/>
    <n v="2608"/>
    <n v="22238"/>
    <n v="23654"/>
    <n v="45693"/>
    <n v="45693"/>
    <n v="2962"/>
    <n v="1523.1"/>
    <n v="47625"/>
    <n v="47625"/>
    <n v="3049"/>
    <n v="1587.5"/>
    <m/>
    <m/>
    <m/>
    <m/>
    <m/>
    <m/>
    <m/>
    <m/>
    <n v="0"/>
    <n v="0"/>
    <m/>
    <n v="0"/>
    <n v="0"/>
    <n v="0"/>
    <m/>
    <n v="0"/>
  </r>
  <r>
    <x v="1"/>
    <s v="Ouachita Technical College "/>
    <n v="107521"/>
    <x v="8"/>
    <s v="sem"/>
    <s v="sem"/>
    <m/>
    <m/>
    <n v="11411"/>
    <n v="11749"/>
    <n v="2256"/>
    <n v="2766"/>
    <n v="12319"/>
    <n v="12517"/>
    <n v="25986"/>
    <n v="25986"/>
    <n v="4455"/>
    <n v="866.2"/>
    <n v="27032"/>
    <n v="27032"/>
    <n v="4307"/>
    <n v="901.06666666666672"/>
    <m/>
    <m/>
    <m/>
    <m/>
    <m/>
    <m/>
    <m/>
    <m/>
    <n v="0"/>
    <n v="0"/>
    <m/>
    <n v="0"/>
    <n v="0"/>
    <n v="0"/>
    <m/>
    <n v="0"/>
  </r>
  <r>
    <x v="1"/>
    <s v="Ozarka College "/>
    <n v="107549"/>
    <x v="8"/>
    <s v="sem"/>
    <s v="sem"/>
    <m/>
    <m/>
    <n v="9457"/>
    <n v="11927"/>
    <n v="1591"/>
    <n v="2216"/>
    <n v="11998"/>
    <n v="12745"/>
    <n v="23046"/>
    <n v="23046"/>
    <n v="1511"/>
    <n v="768.2"/>
    <n v="26888"/>
    <n v="26888"/>
    <n v="1376"/>
    <n v="896.26666666666665"/>
    <m/>
    <m/>
    <m/>
    <m/>
    <m/>
    <m/>
    <m/>
    <m/>
    <n v="0"/>
    <n v="0"/>
    <m/>
    <n v="0"/>
    <n v="0"/>
    <n v="0"/>
    <m/>
    <n v="0"/>
  </r>
  <r>
    <x v="1"/>
    <s v="Phillips Community College of the Univ of Arkansas"/>
    <n v="107619"/>
    <x v="8"/>
    <s v="sem"/>
    <s v="sem"/>
    <m/>
    <m/>
    <n v="16029"/>
    <n v="17293"/>
    <n v="3955"/>
    <n v="3290"/>
    <n v="19579"/>
    <n v="19483"/>
    <n v="39563"/>
    <n v="39563"/>
    <n v="6689"/>
    <n v="1318.7666666666667"/>
    <n v="40066"/>
    <n v="40066"/>
    <n v="7292"/>
    <n v="1335.5333333333333"/>
    <m/>
    <m/>
    <m/>
    <m/>
    <m/>
    <m/>
    <m/>
    <m/>
    <n v="0"/>
    <n v="0"/>
    <m/>
    <n v="0"/>
    <n v="0"/>
    <n v="0"/>
    <m/>
    <n v="0"/>
  </r>
  <r>
    <x v="1"/>
    <s v="Rich Mountain Community College "/>
    <n v="107743"/>
    <x v="8"/>
    <s v="sem"/>
    <s v="sem"/>
    <m/>
    <m/>
    <n v="6782"/>
    <n v="7724"/>
    <n v="954"/>
    <n v="1344"/>
    <n v="8129"/>
    <n v="8444"/>
    <n v="15865"/>
    <n v="15865"/>
    <n v="2171"/>
    <n v="528.83333333333337"/>
    <n v="17512"/>
    <n v="17512"/>
    <n v="2356"/>
    <n v="583.73333333333335"/>
    <m/>
    <m/>
    <m/>
    <m/>
    <m/>
    <m/>
    <m/>
    <m/>
    <n v="0"/>
    <n v="0"/>
    <m/>
    <n v="0"/>
    <n v="0"/>
    <n v="0"/>
    <m/>
    <n v="0"/>
  </r>
  <r>
    <x v="1"/>
    <s v="South Arkansas Community College"/>
    <n v="107974"/>
    <x v="8"/>
    <s v="sem"/>
    <s v="sem"/>
    <m/>
    <m/>
    <n v="12313"/>
    <n v="13219"/>
    <n v="5093"/>
    <n v="5706"/>
    <n v="13669"/>
    <n v="14925"/>
    <n v="31075"/>
    <n v="31075"/>
    <n v="1310"/>
    <n v="1035.8333333333333"/>
    <n v="33850"/>
    <n v="33850"/>
    <n v="1701"/>
    <n v="1128.3333333333333"/>
    <m/>
    <m/>
    <m/>
    <m/>
    <m/>
    <m/>
    <m/>
    <m/>
    <n v="0"/>
    <n v="0"/>
    <m/>
    <n v="0"/>
    <n v="0"/>
    <n v="0"/>
    <m/>
    <n v="0"/>
  </r>
  <r>
    <x v="1"/>
    <s v="Southeast Arkansas College"/>
    <n v="107637"/>
    <x v="8"/>
    <s v="sem"/>
    <s v="sem"/>
    <m/>
    <m/>
    <n v="19570"/>
    <n v="19378"/>
    <n v="6658"/>
    <n v="6339"/>
    <n v="21045"/>
    <n v="19870"/>
    <n v="47273"/>
    <n v="47273"/>
    <n v="1173"/>
    <n v="1575.7666666666667"/>
    <n v="45587"/>
    <n v="45587"/>
    <n v="1307"/>
    <n v="1519.5666666666666"/>
    <m/>
    <m/>
    <m/>
    <m/>
    <m/>
    <m/>
    <m/>
    <m/>
    <n v="0"/>
    <n v="0"/>
    <m/>
    <n v="0"/>
    <n v="0"/>
    <n v="0"/>
    <m/>
    <n v="0"/>
  </r>
  <r>
    <x v="1"/>
    <s v="Southern Arkansas University Tech"/>
    <n v="107992"/>
    <x v="8"/>
    <s v="sem"/>
    <s v="sem"/>
    <m/>
    <m/>
    <n v="15574"/>
    <n v="16427"/>
    <n v="4530"/>
    <n v="5406"/>
    <n v="18412"/>
    <n v="17528"/>
    <n v="38516"/>
    <n v="38516"/>
    <n v="9048"/>
    <n v="1283.8666666666666"/>
    <n v="39361"/>
    <n v="39361"/>
    <n v="8310"/>
    <n v="1312.0333333333333"/>
    <m/>
    <m/>
    <m/>
    <m/>
    <m/>
    <m/>
    <m/>
    <m/>
    <n v="0"/>
    <n v="0"/>
    <m/>
    <n v="0"/>
    <n v="0"/>
    <n v="0"/>
    <m/>
    <n v="0"/>
  </r>
  <r>
    <x v="1"/>
    <s v="University of Arkansas Community College at Batesville"/>
    <n v="106999"/>
    <x v="8"/>
    <s v="sem"/>
    <s v="sem"/>
    <m/>
    <m/>
    <n v="13396"/>
    <n v="14964"/>
    <n v="2457"/>
    <n v="4278"/>
    <n v="15430"/>
    <n v="16394"/>
    <n v="31283"/>
    <n v="31283"/>
    <n v="766"/>
    <n v="1042.7666666666667"/>
    <n v="35636"/>
    <n v="35636"/>
    <n v="705"/>
    <n v="1187.8666666666666"/>
    <m/>
    <m/>
    <m/>
    <m/>
    <m/>
    <m/>
    <m/>
    <m/>
    <n v="0"/>
    <n v="0"/>
    <m/>
    <n v="0"/>
    <n v="0"/>
    <n v="0"/>
    <m/>
    <n v="0"/>
  </r>
  <r>
    <x v="1"/>
    <s v="University of Arkansas Community College at Hope"/>
    <n v="107725"/>
    <x v="8"/>
    <s v="sem"/>
    <s v="sem"/>
    <m/>
    <m/>
    <n v="10393"/>
    <n v="11789"/>
    <n v="2089"/>
    <n v="2494"/>
    <n v="13428"/>
    <n v="12872"/>
    <n v="25910"/>
    <n v="25910"/>
    <n v="931"/>
    <n v="863.66666666666663"/>
    <n v="27155"/>
    <n v="27155"/>
    <n v="1296"/>
    <n v="905.16666666666663"/>
    <m/>
    <m/>
    <m/>
    <m/>
    <m/>
    <m/>
    <m/>
    <m/>
    <n v="0"/>
    <n v="0"/>
    <m/>
    <n v="0"/>
    <n v="0"/>
    <n v="0"/>
    <m/>
    <n v="0"/>
  </r>
  <r>
    <x v="1"/>
    <s v="University of Arkansas Community College at Morrilton"/>
    <n v="107585"/>
    <x v="8"/>
    <s v="sem"/>
    <s v="sem"/>
    <m/>
    <m/>
    <n v="17263"/>
    <n v="18457"/>
    <n v="2232"/>
    <n v="2571"/>
    <n v="20498"/>
    <n v="22181"/>
    <n v="39993"/>
    <n v="39993"/>
    <n v="501"/>
    <n v="1333.1"/>
    <n v="43209"/>
    <n v="43209"/>
    <n v="448"/>
    <n v="1440.3"/>
    <m/>
    <m/>
    <m/>
    <m/>
    <m/>
    <m/>
    <m/>
    <m/>
    <n v="0"/>
    <n v="0"/>
    <m/>
    <n v="0"/>
    <n v="0"/>
    <n v="0"/>
    <m/>
    <n v="0"/>
  </r>
  <r>
    <x v="2"/>
    <s v="University of Delaware"/>
    <n v="130943"/>
    <x v="0"/>
    <s v="sem"/>
    <s v="sem"/>
    <n v="36982"/>
    <n v="36982"/>
    <n v="216280"/>
    <n v="216280"/>
    <n v="16626"/>
    <n v="18149"/>
    <n v="232028"/>
    <n v="233697"/>
    <n v="501916"/>
    <n v="0"/>
    <s v="—"/>
    <n v="16730.533333333333"/>
    <n v="505108"/>
    <n v="0"/>
    <s v="—"/>
    <n v="16836.933333333334"/>
    <s v=" "/>
    <m/>
    <s v=" "/>
    <m/>
    <s v=" "/>
    <m/>
    <s v=" "/>
    <m/>
    <n v="0"/>
    <n v="0"/>
    <m/>
    <n v="0"/>
    <n v="0"/>
    <n v="0"/>
    <m/>
    <n v="0"/>
  </r>
  <r>
    <x v="2"/>
    <s v="Delaware State University"/>
    <n v="130934"/>
    <x v="3"/>
    <s v="sem"/>
    <s v="sem"/>
    <m/>
    <m/>
    <n v="36325"/>
    <n v="44907"/>
    <n v="5411"/>
    <n v="6292"/>
    <n v="39403"/>
    <n v="45384"/>
    <n v="81139"/>
    <n v="0"/>
    <s v="—"/>
    <n v="2704.6333333333332"/>
    <n v="96583"/>
    <n v="0"/>
    <s v="—"/>
    <n v="3219.4333333333334"/>
    <m/>
    <m/>
    <m/>
    <m/>
    <m/>
    <m/>
    <m/>
    <m/>
    <n v="0"/>
    <n v="0"/>
    <m/>
    <n v="0"/>
    <n v="0"/>
    <n v="0"/>
    <m/>
    <n v="0"/>
  </r>
  <r>
    <x v="2"/>
    <s v="Delaware Technical and Community College--Owens"/>
    <n v="130891"/>
    <x v="7"/>
    <s v="sem"/>
    <s v="sem"/>
    <m/>
    <m/>
    <n v="34846"/>
    <n v="36617"/>
    <n v="6731"/>
    <n v="5094"/>
    <n v="41393"/>
    <n v="42099"/>
    <n v="82970"/>
    <n v="0"/>
    <s v="—"/>
    <n v="2765.6666666666665"/>
    <n v="83810"/>
    <n v="0"/>
    <s v="—"/>
    <n v="2793.6666666666665"/>
    <m/>
    <m/>
    <m/>
    <m/>
    <m/>
    <m/>
    <m/>
    <m/>
    <n v="0"/>
    <n v="0"/>
    <m/>
    <n v="0"/>
    <n v="0"/>
    <n v="0"/>
    <m/>
    <n v="0"/>
  </r>
  <r>
    <x v="2"/>
    <s v="Delaware Technical and Community College--Stanton-Wilmington"/>
    <n v="130916"/>
    <x v="7"/>
    <s v="sem"/>
    <s v="sem"/>
    <m/>
    <m/>
    <n v="61749"/>
    <n v="60261"/>
    <n v="16376"/>
    <n v="13215"/>
    <n v="70448"/>
    <n v="67081"/>
    <n v="148573"/>
    <n v="0"/>
    <s v="—"/>
    <n v="4952.4333333333334"/>
    <n v="140557"/>
    <n v="0"/>
    <s v="—"/>
    <n v="4685.2333333333336"/>
    <m/>
    <m/>
    <m/>
    <m/>
    <m/>
    <m/>
    <m/>
    <m/>
    <n v="0"/>
    <n v="0"/>
    <m/>
    <n v="0"/>
    <n v="0"/>
    <n v="0"/>
    <m/>
    <n v="0"/>
  </r>
  <r>
    <x v="2"/>
    <s v="Delaware Technical and Community College--Terry"/>
    <n v="130907"/>
    <x v="8"/>
    <s v="sem"/>
    <s v="sem"/>
    <m/>
    <m/>
    <n v="25577"/>
    <n v="27699"/>
    <n v="6990"/>
    <n v="5997"/>
    <n v="30541"/>
    <n v="31214"/>
    <n v="63108"/>
    <n v="0"/>
    <s v="—"/>
    <n v="2103.6"/>
    <n v="64910"/>
    <n v="0"/>
    <s v="—"/>
    <n v="2163.6666666666665"/>
    <m/>
    <m/>
    <m/>
    <m/>
    <m/>
    <m/>
    <m/>
    <m/>
    <n v="0"/>
    <n v="0"/>
    <m/>
    <n v="0"/>
    <n v="0"/>
    <n v="0"/>
    <m/>
    <n v="0"/>
  </r>
  <r>
    <x v="3"/>
    <s v="Florida State University "/>
    <n v="134097"/>
    <x v="0"/>
    <s v="sem"/>
    <s v="sem"/>
    <m/>
    <m/>
    <n v="380258"/>
    <n v="382086"/>
    <n v="121494"/>
    <n v="115000"/>
    <n v="401827"/>
    <n v="380545"/>
    <n v="903579"/>
    <n v="903579"/>
    <n v="303"/>
    <n v="30119.3"/>
    <n v="877631"/>
    <n v="877631"/>
    <n v="603"/>
    <n v="29254.366666666665"/>
    <m/>
    <m/>
    <m/>
    <m/>
    <m/>
    <m/>
    <m/>
    <m/>
    <n v="0"/>
    <n v="0"/>
    <m/>
    <n v="0"/>
    <n v="0"/>
    <n v="0"/>
    <m/>
    <n v="0"/>
  </r>
  <r>
    <x v="3"/>
    <s v="University of Central Florida "/>
    <n v="132903"/>
    <x v="0"/>
    <s v="sem"/>
    <s v="sem"/>
    <m/>
    <m/>
    <n v="445460"/>
    <n v="469630"/>
    <n v="159643"/>
    <n v="172516"/>
    <n v="487786"/>
    <n v="505640"/>
    <n v="1092889"/>
    <n v="1092889"/>
    <n v="985"/>
    <n v="36429.633333333331"/>
    <n v="1147786"/>
    <n v="1147786"/>
    <n v="949"/>
    <n v="38259.533333333333"/>
    <m/>
    <m/>
    <m/>
    <m/>
    <m/>
    <m/>
    <m/>
    <m/>
    <n v="0"/>
    <n v="0"/>
    <m/>
    <n v="0"/>
    <n v="0"/>
    <n v="0"/>
    <m/>
    <n v="0"/>
  </r>
  <r>
    <x v="3"/>
    <s v="University of Florida"/>
    <n v="134130"/>
    <x v="0"/>
    <s v="sem"/>
    <s v="sem"/>
    <m/>
    <m/>
    <n v="440385"/>
    <n v="446470"/>
    <n v="124596"/>
    <n v="121982"/>
    <n v="465394"/>
    <n v="459100"/>
    <n v="1030375"/>
    <n v="1030375"/>
    <n v="0"/>
    <n v="34345.833333333336"/>
    <n v="1027552"/>
    <n v="1027552"/>
    <n v="0"/>
    <n v="34251.73333333333"/>
    <m/>
    <m/>
    <m/>
    <m/>
    <m/>
    <m/>
    <m/>
    <m/>
    <n v="0"/>
    <n v="0"/>
    <m/>
    <n v="0"/>
    <n v="0"/>
    <n v="0"/>
    <m/>
    <n v="0"/>
  </r>
  <r>
    <x v="3"/>
    <s v="University of South Florida "/>
    <n v="137351"/>
    <x v="0"/>
    <s v="sem"/>
    <s v="sem"/>
    <m/>
    <m/>
    <n v="359332"/>
    <n v="385641"/>
    <n v="127065"/>
    <n v="135021"/>
    <n v="389617"/>
    <n v="415947"/>
    <n v="876014"/>
    <n v="876014"/>
    <n v="3740"/>
    <n v="29200.466666666667"/>
    <n v="936609"/>
    <n v="936609"/>
    <n v="4107"/>
    <n v="31220.3"/>
    <m/>
    <m/>
    <m/>
    <m/>
    <m/>
    <m/>
    <m/>
    <m/>
    <n v="0"/>
    <n v="0"/>
    <m/>
    <n v="0"/>
    <n v="0"/>
    <n v="0"/>
    <m/>
    <n v="0"/>
  </r>
  <r>
    <x v="3"/>
    <s v="Florida Atlantic University "/>
    <n v="133669"/>
    <x v="1"/>
    <s v="sem"/>
    <s v="sem"/>
    <m/>
    <m/>
    <n v="206069"/>
    <n v="207296"/>
    <n v="82384"/>
    <n v="75986"/>
    <n v="228628"/>
    <n v="228063"/>
    <n v="517081"/>
    <n v="517081"/>
    <n v="10579"/>
    <n v="17236.033333333333"/>
    <n v="511345"/>
    <n v="511345"/>
    <n v="8829"/>
    <n v="17044.833333333332"/>
    <m/>
    <m/>
    <m/>
    <m/>
    <m/>
    <m/>
    <m/>
    <m/>
    <n v="0"/>
    <n v="0"/>
    <m/>
    <n v="0"/>
    <n v="0"/>
    <n v="0"/>
    <m/>
    <n v="0"/>
  </r>
  <r>
    <x v="3"/>
    <s v="Florida International University"/>
    <n v="133951"/>
    <x v="1"/>
    <s v="sem"/>
    <s v="sem"/>
    <m/>
    <m/>
    <n v="332750"/>
    <n v="321810"/>
    <n v="161409"/>
    <n v="143306"/>
    <n v="337867"/>
    <n v="339491"/>
    <n v="832026"/>
    <n v="832026"/>
    <n v="44"/>
    <n v="27734.2"/>
    <n v="804607"/>
    <n v="804607"/>
    <n v="113"/>
    <n v="26820.233333333334"/>
    <m/>
    <m/>
    <m/>
    <m/>
    <m/>
    <m/>
    <m/>
    <m/>
    <n v="0"/>
    <n v="0"/>
    <m/>
    <n v="0"/>
    <n v="0"/>
    <n v="0"/>
    <m/>
    <n v="0"/>
  </r>
  <r>
    <x v="3"/>
    <s v="Florida Agricultural &amp; Mechanical University "/>
    <n v="133650"/>
    <x v="2"/>
    <s v="sem"/>
    <s v="sem"/>
    <m/>
    <m/>
    <n v="117478"/>
    <n v="112072"/>
    <n v="30004"/>
    <n v="30364"/>
    <n v="120351"/>
    <n v="121685"/>
    <n v="267833"/>
    <n v="267833"/>
    <n v="0"/>
    <n v="8927.7666666666664"/>
    <n v="264121"/>
    <n v="264121"/>
    <n v="0"/>
    <n v="8804.0333333333328"/>
    <m/>
    <m/>
    <m/>
    <m/>
    <m/>
    <m/>
    <m/>
    <m/>
    <n v="0"/>
    <n v="0"/>
    <m/>
    <n v="0"/>
    <n v="0"/>
    <n v="0"/>
    <m/>
    <n v="0"/>
  </r>
  <r>
    <x v="3"/>
    <s v="University of North Florida"/>
    <n v="136172"/>
    <x v="2"/>
    <s v="sem"/>
    <s v="sem"/>
    <m/>
    <m/>
    <n v="154619"/>
    <n v="156117"/>
    <n v="58220"/>
    <n v="55682"/>
    <n v="168523"/>
    <n v="155222"/>
    <n v="381362"/>
    <n v="381362"/>
    <n v="928"/>
    <n v="12712.066666666668"/>
    <n v="367021"/>
    <n v="367021"/>
    <n v="990"/>
    <n v="12234.033333333333"/>
    <m/>
    <m/>
    <m/>
    <m/>
    <m/>
    <m/>
    <m/>
    <m/>
    <n v="0"/>
    <n v="0"/>
    <m/>
    <n v="0"/>
    <n v="0"/>
    <n v="0"/>
    <m/>
    <n v="0"/>
  </r>
  <r>
    <x v="3"/>
    <s v="University of West Florida"/>
    <n v="138354"/>
    <x v="2"/>
    <s v="sem"/>
    <s v="sem"/>
    <m/>
    <m/>
    <n v="88325"/>
    <n v="91112.5"/>
    <n v="32217"/>
    <n v="32780"/>
    <n v="97248"/>
    <n v="97787.5"/>
    <n v="217790"/>
    <n v="217790"/>
    <n v="295"/>
    <n v="7259.666666666667"/>
    <n v="221680"/>
    <n v="221680"/>
    <n v="239"/>
    <n v="7389.333333333333"/>
    <m/>
    <m/>
    <m/>
    <m/>
    <m/>
    <m/>
    <m/>
    <m/>
    <n v="0"/>
    <n v="0"/>
    <m/>
    <n v="0"/>
    <n v="0"/>
    <n v="0"/>
    <m/>
    <n v="0"/>
  </r>
  <r>
    <x v="3"/>
    <s v="Florida Gulf Coast University"/>
    <n v="433660"/>
    <x v="3"/>
    <s v="sem"/>
    <s v="sem"/>
    <m/>
    <m/>
    <n v="79304"/>
    <n v="90997"/>
    <n v="21153"/>
    <n v="24282"/>
    <n v="96557"/>
    <n v="106691"/>
    <n v="197014"/>
    <n v="197014"/>
    <n v="192"/>
    <n v="6567.1333333333332"/>
    <n v="221970"/>
    <n v="221970"/>
    <n v="325"/>
    <n v="7399"/>
    <m/>
    <m/>
    <m/>
    <m/>
    <m/>
    <m/>
    <m/>
    <m/>
    <n v="0"/>
    <n v="0"/>
    <m/>
    <n v="0"/>
    <n v="0"/>
    <n v="0"/>
    <m/>
    <n v="0"/>
  </r>
  <r>
    <x v="3"/>
    <s v="New College of Florida"/>
    <n v="262129"/>
    <x v="5"/>
    <s v="sem"/>
    <s v="sem"/>
    <m/>
    <m/>
    <n v="11224"/>
    <n v="11988"/>
    <m/>
    <m/>
    <n v="14524"/>
    <n v="14796"/>
    <n v="25748"/>
    <n v="25748"/>
    <n v="0"/>
    <n v="858.26666666666665"/>
    <n v="26784"/>
    <n v="26784"/>
    <n v="0"/>
    <n v="892.8"/>
    <m/>
    <m/>
    <m/>
    <m/>
    <m/>
    <m/>
    <m/>
    <m/>
    <n v="0"/>
    <n v="0"/>
    <m/>
    <n v="0"/>
    <n v="0"/>
    <n v="0"/>
    <m/>
    <n v="0"/>
  </r>
  <r>
    <x v="3"/>
    <s v="Chipola College "/>
    <n v="133021"/>
    <x v="12"/>
    <s v="sem"/>
    <s v="sem"/>
    <m/>
    <m/>
    <n v="16709"/>
    <n v="17114"/>
    <n v="4588"/>
    <n v="5427"/>
    <n v="18024"/>
    <n v="20776"/>
    <n v="39321"/>
    <n v="0"/>
    <s v="—"/>
    <n v="1310.7"/>
    <n v="43317"/>
    <n v="43317"/>
    <n v="3901"/>
    <n v="1443.9"/>
    <m/>
    <m/>
    <n v="109232"/>
    <n v="77854"/>
    <n v="56264"/>
    <n v="35962"/>
    <n v="95770"/>
    <n v="74951"/>
    <n v="261266"/>
    <n v="0"/>
    <s v="—"/>
    <n v="290.29555555555555"/>
    <n v="188767"/>
    <n v="188767"/>
    <n v="8267"/>
    <n v="209.74111111111111"/>
  </r>
  <r>
    <x v="3"/>
    <s v="Miami Dade College "/>
    <n v="135717"/>
    <x v="12"/>
    <s v="sem"/>
    <s v="sem"/>
    <m/>
    <m/>
    <n v="482502"/>
    <n v="516312"/>
    <n v="262119"/>
    <n v="272485"/>
    <n v="536601"/>
    <n v="565389"/>
    <n v="1281222"/>
    <n v="0"/>
    <s v="—"/>
    <n v="42707.4"/>
    <n v="1354186"/>
    <n v="1354186"/>
    <n v="19963"/>
    <n v="45139.533333333333"/>
    <m/>
    <m/>
    <n v="2929078"/>
    <n v="3045387"/>
    <n v="2714207"/>
    <n v="2796873"/>
    <n v="2818225"/>
    <n v="2959024"/>
    <n v="8461510"/>
    <n v="0"/>
    <s v="—"/>
    <n v="9401.677777777777"/>
    <n v="8801284"/>
    <n v="8801284"/>
    <n v="0"/>
    <n v="9779.2044444444437"/>
  </r>
  <r>
    <x v="3"/>
    <s v="Northwest Florida State College"/>
    <n v="136233"/>
    <x v="12"/>
    <s v="sem"/>
    <s v="sem"/>
    <m/>
    <m/>
    <n v="54199"/>
    <n v="59403"/>
    <n v="23768"/>
    <n v="26034"/>
    <n v="61229"/>
    <n v="65288"/>
    <n v="139196"/>
    <n v="0"/>
    <s v="—"/>
    <n v="4639.8666666666668"/>
    <n v="150725"/>
    <n v="150725"/>
    <n v="5983"/>
    <n v="5024.166666666667"/>
    <m/>
    <m/>
    <n v="127589"/>
    <n v="138334"/>
    <n v="94723"/>
    <n v="83715"/>
    <n v="139018"/>
    <n v="145682"/>
    <n v="361330"/>
    <n v="0"/>
    <s v="—"/>
    <n v="401.47777777777776"/>
    <n v="367731"/>
    <n v="367731"/>
    <n v="0"/>
    <n v="408.59"/>
  </r>
  <r>
    <x v="3"/>
    <s v="St. Petersburg College "/>
    <n v="137078"/>
    <x v="12"/>
    <s v="sem"/>
    <s v="sem"/>
    <m/>
    <m/>
    <n v="201520"/>
    <n v="212497"/>
    <n v="80572"/>
    <n v="85117"/>
    <n v="217859"/>
    <n v="229163"/>
    <n v="499951"/>
    <n v="0"/>
    <s v="—"/>
    <n v="16665.033333333333"/>
    <n v="526777"/>
    <n v="526777"/>
    <n v="17910"/>
    <n v="17559.233333333334"/>
    <m/>
    <m/>
    <n v="179865"/>
    <n v="147103"/>
    <n v="115131"/>
    <n v="88374"/>
    <n v="168954"/>
    <n v="174167"/>
    <n v="463950"/>
    <n v="0"/>
    <s v="—"/>
    <n v="515.5"/>
    <n v="409644"/>
    <n v="409644"/>
    <n v="0"/>
    <n v="455.16"/>
  </r>
  <r>
    <x v="3"/>
    <s v="Brevard Community College "/>
    <n v="132693"/>
    <x v="6"/>
    <s v="sem"/>
    <s v="sem"/>
    <m/>
    <m/>
    <n v="106708"/>
    <n v="121486"/>
    <n v="39646"/>
    <n v="39473"/>
    <n v="123477"/>
    <n v="133277"/>
    <n v="269831"/>
    <n v="0"/>
    <s v="—"/>
    <n v="8994.3666666666668"/>
    <n v="294236"/>
    <n v="294236"/>
    <n v="33203"/>
    <n v="9807.8666666666668"/>
    <m/>
    <m/>
    <n v="544234"/>
    <n v="508014"/>
    <n v="175054"/>
    <n v="182056"/>
    <n v="578101"/>
    <n v="655185"/>
    <n v="1297389"/>
    <n v="0"/>
    <s v="—"/>
    <n v="1441.5433333333333"/>
    <n v="1345255"/>
    <n v="1345255"/>
    <n v="81951"/>
    <n v="1494.7277777777779"/>
  </r>
  <r>
    <x v="3"/>
    <s v="Broward Community College "/>
    <n v="132709"/>
    <x v="6"/>
    <s v="sem"/>
    <s v="sem"/>
    <m/>
    <m/>
    <n v="254715"/>
    <n v="270956"/>
    <n v="122027"/>
    <n v="133254"/>
    <n v="274548"/>
    <n v="289901"/>
    <n v="651290"/>
    <n v="0"/>
    <s v="—"/>
    <n v="21709.666666666668"/>
    <n v="694111"/>
    <n v="694111"/>
    <n v="24859"/>
    <n v="23137.033333333333"/>
    <m/>
    <m/>
    <n v="348944"/>
    <n v="273147"/>
    <n v="151200"/>
    <n v="169468"/>
    <n v="279108"/>
    <n v="256481"/>
    <n v="779252"/>
    <n v="0"/>
    <s v="—"/>
    <n v="865.83555555555552"/>
    <n v="699096"/>
    <n v="699096"/>
    <n v="0"/>
    <n v="776.77333333333331"/>
  </r>
  <r>
    <x v="3"/>
    <s v="Daytona Beach Community College "/>
    <n v="133386"/>
    <x v="6"/>
    <s v="sem"/>
    <s v="sem"/>
    <m/>
    <m/>
    <n v="91438"/>
    <n v="122409"/>
    <n v="36363"/>
    <n v="39427"/>
    <n v="122982"/>
    <n v="138542"/>
    <n v="250783"/>
    <n v="0"/>
    <s v="—"/>
    <n v="8359.4333333333325"/>
    <n v="300378"/>
    <n v="300378"/>
    <n v="17480"/>
    <n v="10012.6"/>
    <m/>
    <m/>
    <n v="783073"/>
    <n v="1163385"/>
    <n v="662056"/>
    <n v="628110"/>
    <n v="1378669"/>
    <n v="1107943"/>
    <n v="2823798"/>
    <n v="0"/>
    <s v="—"/>
    <n v="3137.5533333333333"/>
    <n v="2899438"/>
    <n v="2899438"/>
    <n v="33028"/>
    <n v="3221.597777777778"/>
  </r>
  <r>
    <x v="3"/>
    <s v="Edison State College "/>
    <n v="133508"/>
    <x v="6"/>
    <s v="sem"/>
    <s v="sem"/>
    <m/>
    <m/>
    <n v="87413"/>
    <n v="99439"/>
    <n v="39457"/>
    <n v="43790"/>
    <n v="103017"/>
    <n v="116839"/>
    <n v="229887"/>
    <n v="0"/>
    <s v="—"/>
    <n v="7662.9"/>
    <n v="260068"/>
    <n v="260068"/>
    <n v="15951"/>
    <n v="8668.9333333333325"/>
    <m/>
    <m/>
    <n v="24321"/>
    <n v="21084"/>
    <n v="4956"/>
    <n v="8943"/>
    <n v="30300"/>
    <n v="19383"/>
    <n v="59577"/>
    <n v="0"/>
    <s v="—"/>
    <n v="66.196666666666673"/>
    <n v="49410"/>
    <n v="49410"/>
    <n v="0"/>
    <n v="54.9"/>
  </r>
  <r>
    <x v="3"/>
    <s v="Florida Community College at Jacksonville"/>
    <n v="133702"/>
    <x v="6"/>
    <s v="sem"/>
    <s v="sem"/>
    <m/>
    <m/>
    <n v="188630"/>
    <n v="188007"/>
    <n v="91652"/>
    <n v="102116"/>
    <n v="185408"/>
    <n v="212972"/>
    <n v="465690"/>
    <n v="0"/>
    <s v="—"/>
    <n v="15523"/>
    <n v="503095"/>
    <n v="503095"/>
    <n v="16802"/>
    <n v="16769.833333333332"/>
    <m/>
    <m/>
    <n v="1938236"/>
    <n v="2726747"/>
    <n v="1557342"/>
    <n v="1580613"/>
    <n v="2125872"/>
    <n v="2353574"/>
    <n v="5621450"/>
    <n v="0"/>
    <s v="—"/>
    <n v="6246.0555555555557"/>
    <n v="6660934"/>
    <n v="6660934"/>
    <n v="35629"/>
    <n v="7401.0377777777776"/>
  </r>
  <r>
    <x v="3"/>
    <s v="Hillsborough Community College "/>
    <n v="134495"/>
    <x v="6"/>
    <s v="sem"/>
    <s v="sem"/>
    <m/>
    <m/>
    <n v="180569"/>
    <n v="183758"/>
    <n v="63753"/>
    <n v="71207"/>
    <n v="194099"/>
    <n v="209829"/>
    <n v="438421"/>
    <n v="0"/>
    <s v="—"/>
    <n v="14614.033333333333"/>
    <n v="464794"/>
    <n v="464794"/>
    <n v="7057"/>
    <n v="15493.133333333333"/>
    <m/>
    <m/>
    <n v="958274"/>
    <n v="921346"/>
    <n v="202451"/>
    <n v="237818"/>
    <n v="1031724"/>
    <n v="998985"/>
    <n v="2192449"/>
    <n v="0"/>
    <s v="—"/>
    <n v="2436.0544444444445"/>
    <n v="2158149"/>
    <n v="2158149"/>
    <n v="0"/>
    <n v="2397.9433333333332"/>
  </r>
  <r>
    <x v="3"/>
    <s v="Indian River Community College "/>
    <n v="134608"/>
    <x v="6"/>
    <s v="sem"/>
    <s v="sem"/>
    <m/>
    <m/>
    <n v="93140"/>
    <n v="102345"/>
    <n v="45307"/>
    <n v="52438"/>
    <n v="106882"/>
    <n v="115550"/>
    <n v="245329"/>
    <n v="0"/>
    <s v="—"/>
    <n v="8177.6333333333332"/>
    <n v="270333"/>
    <n v="270333"/>
    <n v="21351"/>
    <n v="9011.1"/>
    <m/>
    <m/>
    <n v="1176844"/>
    <n v="1186062"/>
    <n v="894355"/>
    <n v="887799"/>
    <n v="1255625"/>
    <n v="1107926"/>
    <n v="3326824"/>
    <n v="0"/>
    <s v="—"/>
    <n v="3696.471111111111"/>
    <n v="3181787"/>
    <n v="3181787"/>
    <n v="44814"/>
    <n v="3535.318888888889"/>
  </r>
  <r>
    <x v="3"/>
    <s v="Manatee Community College "/>
    <n v="135391"/>
    <x v="6"/>
    <s v="sem"/>
    <s v="sem"/>
    <m/>
    <m/>
    <n v="86638"/>
    <n v="96769"/>
    <n v="31306"/>
    <n v="35429"/>
    <n v="98837"/>
    <n v="109207"/>
    <n v="216781"/>
    <n v="0"/>
    <s v="—"/>
    <n v="7226.0333333333338"/>
    <n v="241405"/>
    <n v="241405"/>
    <n v="11782"/>
    <n v="8046.833333333333"/>
    <m/>
    <m/>
    <n v="64094"/>
    <n v="58856"/>
    <n v="51933"/>
    <n v="67213"/>
    <n v="52183"/>
    <n v="50870"/>
    <n v="168210"/>
    <n v="0"/>
    <s v="—"/>
    <n v="186.9"/>
    <n v="176939"/>
    <n v="176939"/>
    <n v="0"/>
    <n v="196.59888888888889"/>
  </r>
  <r>
    <x v="3"/>
    <s v="Palm Beach Community College "/>
    <n v="136358"/>
    <x v="6"/>
    <s v="sem"/>
    <s v="sem"/>
    <m/>
    <m/>
    <n v="156377"/>
    <n v="172359"/>
    <n v="66675"/>
    <n v="77001"/>
    <n v="179785"/>
    <n v="202507"/>
    <n v="402837"/>
    <n v="0"/>
    <s v="—"/>
    <n v="13427.9"/>
    <n v="451867"/>
    <n v="451867"/>
    <n v="10397"/>
    <n v="15062.233333333334"/>
    <m/>
    <m/>
    <n v="1131100"/>
    <n v="960460"/>
    <n v="561057"/>
    <n v="582060"/>
    <n v="936356"/>
    <n v="884467"/>
    <n v="2628513"/>
    <n v="0"/>
    <s v="—"/>
    <n v="2920.57"/>
    <n v="2426987"/>
    <n v="2426987"/>
    <n v="274"/>
    <n v="2696.652222222222"/>
  </r>
  <r>
    <x v="3"/>
    <s v="Pasco-Hernando Community College "/>
    <n v="136400"/>
    <x v="6"/>
    <s v="sem"/>
    <s v="sem"/>
    <m/>
    <m/>
    <n v="60244"/>
    <n v="66278"/>
    <n v="18469"/>
    <n v="20786"/>
    <n v="68806"/>
    <n v="74361"/>
    <n v="147519"/>
    <n v="0"/>
    <s v="—"/>
    <n v="4917.3"/>
    <n v="161425"/>
    <n v="161425"/>
    <n v="13905"/>
    <n v="5380.833333333333"/>
    <m/>
    <m/>
    <n v="160216"/>
    <n v="157103"/>
    <n v="85878"/>
    <n v="88947"/>
    <n v="166232"/>
    <n v="159128"/>
    <n v="412326"/>
    <n v="0"/>
    <s v="—"/>
    <n v="458.14"/>
    <n v="405178"/>
    <n v="405178"/>
    <n v="4700"/>
    <n v="450.19777777777779"/>
  </r>
  <r>
    <x v="3"/>
    <s v="Pensacola Junior College "/>
    <n v="136473"/>
    <x v="6"/>
    <s v="sem"/>
    <s v="sem"/>
    <m/>
    <m/>
    <n v="85876"/>
    <n v="91540"/>
    <n v="32973"/>
    <n v="34536"/>
    <n v="93910"/>
    <n v="94363"/>
    <n v="212759"/>
    <n v="0"/>
    <s v="—"/>
    <n v="7091.9666666666662"/>
    <n v="220439"/>
    <n v="220439"/>
    <n v="25151"/>
    <n v="7347.9666666666662"/>
    <m/>
    <m/>
    <n v="366256"/>
    <n v="401564"/>
    <n v="236255"/>
    <n v="265990"/>
    <n v="399499"/>
    <n v="463155"/>
    <n v="1002010"/>
    <n v="0"/>
    <s v="—"/>
    <n v="1113.3444444444444"/>
    <n v="1130709"/>
    <n v="1130709"/>
    <n v="2640"/>
    <n v="1256.3433333333332"/>
  </r>
  <r>
    <x v="3"/>
    <s v="Santa Fe Community College "/>
    <n v="137096"/>
    <x v="6"/>
    <s v="sem"/>
    <s v="sem"/>
    <m/>
    <m/>
    <n v="130849"/>
    <n v="139690"/>
    <n v="55092"/>
    <n v="57454"/>
    <n v="147209"/>
    <n v="146574"/>
    <n v="333150"/>
    <n v="0"/>
    <s v="—"/>
    <n v="11105"/>
    <n v="343718"/>
    <n v="343718"/>
    <n v="11616"/>
    <n v="11457.266666666666"/>
    <m/>
    <m/>
    <n v="241689"/>
    <n v="61518"/>
    <n v="179176"/>
    <n v="166674"/>
    <n v="279336"/>
    <n v="276021"/>
    <n v="700201"/>
    <n v="0"/>
    <s v="—"/>
    <n v="778.00111111111107"/>
    <n v="504213"/>
    <n v="504213"/>
    <n v="2726"/>
    <n v="560.23666666666668"/>
  </r>
  <r>
    <x v="3"/>
    <s v="Seminole Community College "/>
    <n v="137209"/>
    <x v="6"/>
    <s v="sem"/>
    <s v="sem"/>
    <m/>
    <m/>
    <n v="93204"/>
    <n v="103483"/>
    <n v="39908"/>
    <n v="46304"/>
    <n v="107231"/>
    <n v="122395"/>
    <n v="240343"/>
    <n v="0"/>
    <s v="—"/>
    <n v="8011.4333333333334"/>
    <n v="272182"/>
    <n v="272182"/>
    <n v="4876"/>
    <n v="9072.7333333333336"/>
    <m/>
    <m/>
    <n v="780608"/>
    <n v="826727"/>
    <n v="522615"/>
    <n v="554733"/>
    <n v="815146"/>
    <n v="778892"/>
    <n v="2118369"/>
    <n v="0"/>
    <s v="—"/>
    <n v="2353.7433333333333"/>
    <n v="2160352"/>
    <n v="2160352"/>
    <n v="20469"/>
    <n v="2400.3911111111111"/>
  </r>
  <r>
    <x v="3"/>
    <s v="Tallahassee Community College "/>
    <n v="137759"/>
    <x v="6"/>
    <s v="sem"/>
    <s v="sem"/>
    <m/>
    <m/>
    <n v="119831"/>
    <n v="120032"/>
    <n v="52232"/>
    <n v="53130"/>
    <n v="131808"/>
    <n v="135412"/>
    <n v="303871"/>
    <n v="0"/>
    <s v="—"/>
    <n v="10129.033333333333"/>
    <n v="308574"/>
    <n v="308574"/>
    <n v="8713"/>
    <n v="10285.799999999999"/>
    <m/>
    <m/>
    <n v="432280"/>
    <n v="536091"/>
    <n v="594919"/>
    <n v="335499"/>
    <n v="480111"/>
    <n v="545793"/>
    <n v="1507310"/>
    <n v="0"/>
    <s v="—"/>
    <n v="1674.7888888888888"/>
    <n v="1417383"/>
    <n v="1417383"/>
    <n v="12696"/>
    <n v="1574.87"/>
  </r>
  <r>
    <x v="3"/>
    <s v="Valencia Community College "/>
    <n v="138187"/>
    <x v="6"/>
    <s v="sem"/>
    <s v="sem"/>
    <m/>
    <m/>
    <n v="254190"/>
    <n v="283518"/>
    <n v="113654"/>
    <n v="129718"/>
    <n v="297462"/>
    <n v="323992"/>
    <n v="665306"/>
    <n v="0"/>
    <s v="—"/>
    <n v="22176.866666666665"/>
    <n v="737228"/>
    <n v="737228"/>
    <n v="25442"/>
    <n v="24574.266666666666"/>
    <m/>
    <m/>
    <n v="310139"/>
    <n v="306819"/>
    <n v="108268"/>
    <n v="139516"/>
    <n v="250104"/>
    <n v="228973"/>
    <n v="668511"/>
    <n v="0"/>
    <s v="—"/>
    <n v="742.79"/>
    <n v="675308"/>
    <n v="675308"/>
    <n v="0"/>
    <n v="750.34222222222218"/>
  </r>
  <r>
    <x v="3"/>
    <s v="Central Florida Community College "/>
    <n v="132851"/>
    <x v="7"/>
    <s v="sem"/>
    <s v="sem"/>
    <m/>
    <m/>
    <n v="48396"/>
    <n v="53276"/>
    <n v="15804"/>
    <n v="19721"/>
    <n v="55494"/>
    <n v="61720"/>
    <n v="119694"/>
    <n v="0"/>
    <s v="—"/>
    <n v="3989.8"/>
    <n v="134717"/>
    <n v="134717"/>
    <n v="7298"/>
    <n v="4490.5666666666666"/>
    <m/>
    <m/>
    <n v="255414"/>
    <n v="264709"/>
    <n v="197834"/>
    <n v="175180"/>
    <n v="271182"/>
    <n v="232716"/>
    <n v="724430"/>
    <n v="0"/>
    <s v="—"/>
    <n v="804.92222222222222"/>
    <n v="672605"/>
    <n v="672605"/>
    <n v="2190"/>
    <n v="747.33888888888885"/>
  </r>
  <r>
    <x v="3"/>
    <s v="Gulf Coast Community College "/>
    <n v="134343"/>
    <x v="7"/>
    <s v="sem"/>
    <s v="sem"/>
    <m/>
    <m/>
    <n v="49270"/>
    <n v="52275"/>
    <n v="13801"/>
    <n v="14613"/>
    <n v="55604"/>
    <n v="57368"/>
    <n v="118675"/>
    <n v="0"/>
    <s v="—"/>
    <n v="3955.8333333333335"/>
    <n v="124256"/>
    <n v="124256"/>
    <n v="15020"/>
    <n v="4141.8666666666668"/>
    <m/>
    <m/>
    <n v="290326"/>
    <n v="266191"/>
    <n v="177277"/>
    <n v="140050"/>
    <n v="269783"/>
    <n v="225665"/>
    <n v="737386"/>
    <n v="0"/>
    <s v="—"/>
    <n v="819.31777777777779"/>
    <n v="631906"/>
    <n v="631906"/>
    <n v="0"/>
    <n v="702.11777777777775"/>
  </r>
  <r>
    <x v="3"/>
    <s v="Lake City Community College "/>
    <n v="135160"/>
    <x v="7"/>
    <s v="sem"/>
    <s v="sem"/>
    <m/>
    <m/>
    <n v="21425"/>
    <n v="22720"/>
    <n v="8263"/>
    <n v="9003"/>
    <n v="23745"/>
    <n v="22676"/>
    <n v="53433"/>
    <n v="0"/>
    <s v="—"/>
    <n v="1781.1"/>
    <n v="54399"/>
    <n v="54399"/>
    <n v="7403"/>
    <n v="1813.3"/>
    <m/>
    <m/>
    <n v="191382"/>
    <n v="94721"/>
    <n v="189975"/>
    <n v="76693"/>
    <n v="175738"/>
    <n v="84893"/>
    <n v="557095"/>
    <n v="0"/>
    <s v="—"/>
    <n v="618.99444444444441"/>
    <n v="256307"/>
    <n v="256307"/>
    <n v="630"/>
    <n v="284.78555555555556"/>
  </r>
  <r>
    <x v="3"/>
    <s v="Lake-Sumter Community College "/>
    <n v="135188"/>
    <x v="7"/>
    <s v="sem"/>
    <s v="sem"/>
    <m/>
    <m/>
    <n v="29613"/>
    <n v="32433"/>
    <n v="9681"/>
    <n v="10603"/>
    <n v="33930"/>
    <n v="36336"/>
    <n v="73224"/>
    <n v="0"/>
    <s v="—"/>
    <n v="2440.8000000000002"/>
    <n v="79372"/>
    <n v="79372"/>
    <n v="6832"/>
    <n v="2645.7333333333331"/>
    <m/>
    <m/>
    <n v="15479"/>
    <n v="19177"/>
    <n v="11092"/>
    <n v="18744"/>
    <n v="14051"/>
    <n v="27914"/>
    <n v="40622"/>
    <n v="0"/>
    <s v="—"/>
    <n v="45.135555555555555"/>
    <n v="65835"/>
    <n v="65835"/>
    <n v="0"/>
    <n v="73.150000000000006"/>
  </r>
  <r>
    <x v="3"/>
    <s v="Polk Community College "/>
    <n v="136516"/>
    <x v="7"/>
    <s v="sem"/>
    <s v="sem"/>
    <m/>
    <m/>
    <n v="55901"/>
    <n v="62691"/>
    <n v="22589"/>
    <n v="26582"/>
    <n v="64860"/>
    <n v="73173"/>
    <n v="143350"/>
    <n v="0"/>
    <s v="—"/>
    <n v="4778.333333333333"/>
    <n v="162446"/>
    <n v="162446"/>
    <n v="13762"/>
    <n v="5414.8666666666668"/>
    <m/>
    <m/>
    <n v="126523"/>
    <n v="108646"/>
    <n v="96070"/>
    <n v="61594"/>
    <n v="75425"/>
    <n v="86814"/>
    <n v="298018"/>
    <n v="0"/>
    <s v="—"/>
    <n v="331.13111111111112"/>
    <n v="257054"/>
    <n v="257054"/>
    <n v="0"/>
    <n v="285.61555555555555"/>
  </r>
  <r>
    <x v="3"/>
    <s v="South Florida Community College "/>
    <n v="137315"/>
    <x v="7"/>
    <s v="sem"/>
    <s v="sem"/>
    <m/>
    <m/>
    <n v="15817"/>
    <n v="17445"/>
    <n v="4792"/>
    <n v="5400"/>
    <n v="18086"/>
    <n v="19738"/>
    <n v="38695"/>
    <n v="0"/>
    <s v="—"/>
    <n v="1289.8333333333333"/>
    <n v="42583"/>
    <n v="42583"/>
    <n v="5166"/>
    <n v="1419.4333333333334"/>
    <m/>
    <m/>
    <n v="385847"/>
    <n v="430118"/>
    <n v="234043"/>
    <n v="248597"/>
    <n v="479933"/>
    <n v="468793"/>
    <n v="1099823"/>
    <n v="0"/>
    <s v="—"/>
    <n v="1222.0255555555555"/>
    <n v="1147508"/>
    <n v="1147508"/>
    <n v="131644"/>
    <n v="1275.0088888888888"/>
  </r>
  <r>
    <x v="3"/>
    <s v="St. Johns River Community College "/>
    <n v="137281"/>
    <x v="7"/>
    <s v="sem"/>
    <s v="sem"/>
    <m/>
    <m/>
    <n v="39458"/>
    <n v="43468"/>
    <n v="16660"/>
    <n v="19427"/>
    <n v="44183"/>
    <n v="48449"/>
    <n v="100301"/>
    <n v="0"/>
    <s v="—"/>
    <n v="3343.3666666666668"/>
    <n v="111344"/>
    <n v="111344"/>
    <n v="10096"/>
    <n v="3711.4666666666667"/>
    <m/>
    <m/>
    <n v="215914"/>
    <n v="221359"/>
    <n v="145527"/>
    <n v="135469"/>
    <n v="276313"/>
    <n v="243580"/>
    <n v="637754"/>
    <n v="0"/>
    <s v="—"/>
    <n v="708.6155555555556"/>
    <n v="600408"/>
    <n v="600408"/>
    <n v="0"/>
    <n v="667.12"/>
  </r>
  <r>
    <x v="3"/>
    <s v="Florida Keys Community College "/>
    <n v="133960"/>
    <x v="8"/>
    <s v="sem"/>
    <s v="sem"/>
    <m/>
    <m/>
    <n v="8333"/>
    <n v="9933"/>
    <n v="3910"/>
    <n v="3613"/>
    <n v="8371"/>
    <n v="10982"/>
    <n v="20614"/>
    <n v="0"/>
    <s v="—"/>
    <n v="687.13333333333333"/>
    <n v="24528"/>
    <n v="24528"/>
    <n v="2702"/>
    <n v="817.6"/>
    <m/>
    <m/>
    <n v="26332"/>
    <n v="18522"/>
    <n v="9692"/>
    <n v="8988"/>
    <n v="16461"/>
    <n v="24487"/>
    <n v="52485"/>
    <n v="0"/>
    <s v="—"/>
    <n v="58.31666666666667"/>
    <n v="51997"/>
    <n v="51997"/>
    <n v="0"/>
    <n v="57.774444444444441"/>
  </r>
  <r>
    <x v="3"/>
    <s v="North Florida Community College "/>
    <n v="136145"/>
    <x v="8"/>
    <s v="sem"/>
    <s v="sem"/>
    <m/>
    <m/>
    <n v="9530"/>
    <n v="9577"/>
    <n v="2506"/>
    <n v="2664"/>
    <n v="11594"/>
    <n v="9725"/>
    <n v="23630"/>
    <n v="0"/>
    <s v="—"/>
    <n v="787.66666666666663"/>
    <n v="21966"/>
    <n v="21966"/>
    <n v="3131"/>
    <n v="732.2"/>
    <m/>
    <m/>
    <n v="65180"/>
    <n v="54381"/>
    <n v="23097"/>
    <n v="24601"/>
    <n v="74312"/>
    <n v="75293"/>
    <n v="162589"/>
    <n v="0"/>
    <s v="—"/>
    <n v="180.65444444444444"/>
    <n v="154275"/>
    <n v="154275"/>
    <n v="180"/>
    <n v="171.41666666666666"/>
  </r>
  <r>
    <x v="4"/>
    <s v="Georgia State University "/>
    <n v="139940"/>
    <x v="0"/>
    <s v="sem"/>
    <s v="sem"/>
    <m/>
    <m/>
    <n v="226350.5"/>
    <n v="238791"/>
    <n v="69199"/>
    <n v="70525"/>
    <n v="247974"/>
    <n v="258599.5"/>
    <n v="543523.5"/>
    <n v="0"/>
    <s v="—"/>
    <n v="18117.45"/>
    <n v="567915.5"/>
    <n v="567915.5"/>
    <n v="1895"/>
    <n v="18930.516666666666"/>
    <m/>
    <m/>
    <m/>
    <m/>
    <m/>
    <m/>
    <m/>
    <m/>
    <n v="0"/>
    <n v="0"/>
    <m/>
    <n v="0"/>
    <n v="0"/>
    <n v="0"/>
    <m/>
    <n v="0"/>
  </r>
  <r>
    <x v="4"/>
    <s v="University of Georgia"/>
    <n v="139959"/>
    <x v="0"/>
    <s v="sem"/>
    <s v="sem"/>
    <m/>
    <m/>
    <n v="327043.5"/>
    <n v="324391.5"/>
    <n v="60355"/>
    <n v="60782"/>
    <n v="342584.7"/>
    <n v="344966.8"/>
    <n v="729983.2"/>
    <n v="0"/>
    <s v="—"/>
    <n v="24332.773333333331"/>
    <n v="730140.3"/>
    <n v="730140.3"/>
    <n v="239"/>
    <n v="24338.010000000002"/>
    <m/>
    <m/>
    <m/>
    <m/>
    <m/>
    <m/>
    <m/>
    <m/>
    <n v="0"/>
    <n v="0"/>
    <m/>
    <n v="0"/>
    <n v="0"/>
    <n v="0"/>
    <m/>
    <n v="0"/>
  </r>
  <r>
    <x v="4"/>
    <s v="Georgia Institute of Technology"/>
    <n v="139755"/>
    <x v="1"/>
    <s v="sem"/>
    <s v="sem"/>
    <m/>
    <m/>
    <n v="161940.5"/>
    <n v="164290"/>
    <n v="38265"/>
    <n v="39122"/>
    <n v="177623"/>
    <n v="180806"/>
    <n v="377828.5"/>
    <n v="0"/>
    <s v="—"/>
    <n v="12594.283333333333"/>
    <n v="384218"/>
    <n v="384218"/>
    <n v="1173"/>
    <n v="12807.266666666666"/>
    <m/>
    <m/>
    <m/>
    <m/>
    <m/>
    <m/>
    <m/>
    <m/>
    <n v="0"/>
    <n v="0"/>
    <m/>
    <n v="0"/>
    <n v="0"/>
    <n v="0"/>
    <m/>
    <n v="0"/>
  </r>
  <r>
    <x v="4"/>
    <s v="Georgia Southern University"/>
    <n v="139931"/>
    <x v="2"/>
    <s v="sem"/>
    <s v="sem"/>
    <m/>
    <m/>
    <n v="180849"/>
    <n v="186324"/>
    <n v="51010"/>
    <n v="50377"/>
    <n v="200598"/>
    <n v="209026"/>
    <n v="432457"/>
    <n v="0"/>
    <s v="—"/>
    <n v="14415.233333333334"/>
    <n v="445727"/>
    <n v="445727"/>
    <n v="1688"/>
    <n v="14857.566666666668"/>
    <m/>
    <m/>
    <m/>
    <m/>
    <m/>
    <m/>
    <m/>
    <m/>
    <n v="0"/>
    <n v="0"/>
    <m/>
    <n v="0"/>
    <n v="0"/>
    <n v="0"/>
    <m/>
    <n v="0"/>
  </r>
  <r>
    <x v="4"/>
    <s v="University of West Georgia"/>
    <n v="141334"/>
    <x v="2"/>
    <s v="sem"/>
    <s v="sem"/>
    <m/>
    <m/>
    <n v="100296"/>
    <n v="107395"/>
    <n v="26002"/>
    <n v="28968"/>
    <n v="113956"/>
    <n v="120212"/>
    <n v="240254"/>
    <n v="0"/>
    <s v="—"/>
    <n v="8008.4666666666662"/>
    <n v="256575"/>
    <n v="256575"/>
    <n v="3024"/>
    <n v="8552.5"/>
    <m/>
    <m/>
    <m/>
    <m/>
    <m/>
    <m/>
    <m/>
    <m/>
    <n v="0"/>
    <n v="0"/>
    <m/>
    <n v="0"/>
    <n v="0"/>
    <n v="0"/>
    <m/>
    <n v="0"/>
  </r>
  <r>
    <x v="4"/>
    <s v="Valdosta State University "/>
    <n v="141264"/>
    <x v="2"/>
    <s v="sem"/>
    <s v="sem"/>
    <m/>
    <m/>
    <n v="115418"/>
    <n v="118862"/>
    <n v="25445"/>
    <n v="24646"/>
    <n v="127969"/>
    <n v="128774"/>
    <n v="268832"/>
    <n v="0"/>
    <s v="—"/>
    <n v="8961.0666666666675"/>
    <n v="272282"/>
    <n v="272282"/>
    <n v="372"/>
    <n v="9076.0666666666675"/>
    <m/>
    <m/>
    <m/>
    <m/>
    <m/>
    <m/>
    <m/>
    <m/>
    <n v="0"/>
    <n v="0"/>
    <m/>
    <n v="0"/>
    <n v="0"/>
    <n v="0"/>
    <m/>
    <n v="0"/>
  </r>
  <r>
    <x v="4"/>
    <s v="Albany State University "/>
    <n v="138716"/>
    <x v="3"/>
    <s v="sem"/>
    <s v="sem"/>
    <m/>
    <m/>
    <n v="44672"/>
    <n v="45830"/>
    <n v="11516"/>
    <n v="11966"/>
    <n v="48168"/>
    <n v="49176"/>
    <n v="104356"/>
    <n v="0"/>
    <s v="—"/>
    <n v="3478.5333333333333"/>
    <n v="106972"/>
    <n v="106972"/>
    <n v="27"/>
    <n v="3565.7333333333331"/>
    <m/>
    <m/>
    <m/>
    <m/>
    <m/>
    <m/>
    <m/>
    <m/>
    <n v="0"/>
    <n v="0"/>
    <m/>
    <n v="0"/>
    <n v="0"/>
    <n v="0"/>
    <m/>
    <n v="0"/>
  </r>
  <r>
    <x v="4"/>
    <s v="Armstrong Atlantic State University"/>
    <n v="138789"/>
    <x v="3"/>
    <s v="sem"/>
    <s v="sem"/>
    <m/>
    <m/>
    <n v="64339.199999999997"/>
    <n v="64535"/>
    <n v="17059"/>
    <n v="17941"/>
    <n v="69224.800000000003"/>
    <n v="72293.899999999994"/>
    <n v="150623"/>
    <n v="0"/>
    <s v="—"/>
    <n v="5020.7666666666664"/>
    <n v="154769.9"/>
    <n v="154769.9"/>
    <n v="874"/>
    <n v="5158.9966666666669"/>
    <m/>
    <m/>
    <m/>
    <m/>
    <m/>
    <m/>
    <m/>
    <m/>
    <n v="0"/>
    <n v="0"/>
    <m/>
    <n v="0"/>
    <n v="0"/>
    <n v="0"/>
    <m/>
    <n v="0"/>
  </r>
  <r>
    <x v="4"/>
    <s v="Columbus State University"/>
    <n v="139366"/>
    <x v="3"/>
    <s v="sem"/>
    <s v="sem"/>
    <m/>
    <m/>
    <n v="74756"/>
    <n v="72540"/>
    <n v="21770"/>
    <n v="21280"/>
    <n v="77044"/>
    <n v="80178"/>
    <n v="173570"/>
    <n v="0"/>
    <s v="—"/>
    <n v="5785.666666666667"/>
    <n v="173998"/>
    <n v="173998"/>
    <n v="933"/>
    <n v="5799.9333333333334"/>
    <m/>
    <m/>
    <m/>
    <m/>
    <m/>
    <m/>
    <m/>
    <m/>
    <n v="0"/>
    <n v="0"/>
    <m/>
    <n v="0"/>
    <n v="0"/>
    <n v="0"/>
    <m/>
    <n v="0"/>
  </r>
  <r>
    <x v="4"/>
    <s v="Georgia College and State University"/>
    <n v="139861"/>
    <x v="3"/>
    <s v="sem"/>
    <s v="sem"/>
    <m/>
    <m/>
    <n v="65387"/>
    <n v="68831"/>
    <n v="13713"/>
    <n v="13886"/>
    <n v="72773"/>
    <n v="74894"/>
    <n v="151873"/>
    <n v="0"/>
    <s v="—"/>
    <n v="5062.4333333333334"/>
    <n v="157611"/>
    <n v="157611"/>
    <n v="366"/>
    <n v="5253.7"/>
    <m/>
    <m/>
    <m/>
    <m/>
    <m/>
    <m/>
    <m/>
    <m/>
    <n v="0"/>
    <n v="0"/>
    <m/>
    <n v="0"/>
    <n v="0"/>
    <n v="0"/>
    <m/>
    <n v="0"/>
  </r>
  <r>
    <x v="4"/>
    <s v="Kennesaw State University"/>
    <n v="140164"/>
    <x v="3"/>
    <s v="sem"/>
    <s v="sem"/>
    <m/>
    <m/>
    <n v="201186"/>
    <n v="210012"/>
    <n v="60763"/>
    <n v="64204"/>
    <n v="217998"/>
    <n v="232183"/>
    <n v="479947"/>
    <n v="0"/>
    <s v="—"/>
    <n v="15998.233333333334"/>
    <n v="506399"/>
    <n v="506399"/>
    <n v="1953"/>
    <n v="16879.966666666667"/>
    <m/>
    <m/>
    <m/>
    <m/>
    <m/>
    <m/>
    <m/>
    <m/>
    <n v="0"/>
    <n v="0"/>
    <m/>
    <n v="0"/>
    <n v="0"/>
    <n v="0"/>
    <m/>
    <n v="0"/>
  </r>
  <r>
    <x v="4"/>
    <s v="Augusta State University"/>
    <n v="138983"/>
    <x v="4"/>
    <s v="sem"/>
    <s v="sem"/>
    <m/>
    <m/>
    <n v="61918"/>
    <n v="60974"/>
    <n v="17059"/>
    <n v="16813"/>
    <n v="66190"/>
    <n v="65869"/>
    <n v="145167"/>
    <n v="0"/>
    <s v="—"/>
    <n v="4838.8999999999996"/>
    <n v="143656"/>
    <n v="143656"/>
    <n v="736"/>
    <n v="4788.5333333333338"/>
    <m/>
    <m/>
    <m/>
    <m/>
    <m/>
    <m/>
    <m/>
    <m/>
    <n v="0"/>
    <n v="0"/>
    <m/>
    <n v="0"/>
    <n v="0"/>
    <n v="0"/>
    <m/>
    <n v="0"/>
  </r>
  <r>
    <x v="4"/>
    <s v="Fort Valley State University"/>
    <n v="139719"/>
    <x v="4"/>
    <s v="sem"/>
    <s v="sem"/>
    <m/>
    <m/>
    <n v="28678"/>
    <n v="30965"/>
    <n v="7524"/>
    <n v="7242"/>
    <n v="33273"/>
    <n v="40265"/>
    <n v="69475"/>
    <n v="0"/>
    <s v="—"/>
    <n v="2315.8333333333335"/>
    <n v="78472"/>
    <n v="78472"/>
    <n v="105"/>
    <n v="2615.7333333333331"/>
    <m/>
    <m/>
    <m/>
    <m/>
    <m/>
    <m/>
    <m/>
    <m/>
    <n v="0"/>
    <n v="0"/>
    <m/>
    <n v="0"/>
    <n v="0"/>
    <n v="0"/>
    <m/>
    <n v="0"/>
  </r>
  <r>
    <x v="4"/>
    <s v="Georgia Southwestern State University"/>
    <n v="139764"/>
    <x v="4"/>
    <s v="sem"/>
    <s v="sem"/>
    <m/>
    <m/>
    <n v="25315"/>
    <n v="25149"/>
    <n v="8003"/>
    <n v="8776"/>
    <n v="27211"/>
    <n v="28960"/>
    <n v="60529"/>
    <n v="0"/>
    <s v="—"/>
    <n v="2017.6333333333334"/>
    <n v="62885"/>
    <n v="62885"/>
    <n v="401"/>
    <n v="2096.1666666666665"/>
    <m/>
    <m/>
    <m/>
    <m/>
    <m/>
    <m/>
    <m/>
    <m/>
    <n v="0"/>
    <n v="0"/>
    <m/>
    <n v="0"/>
    <n v="0"/>
    <n v="0"/>
    <m/>
    <n v="0"/>
  </r>
  <r>
    <x v="4"/>
    <s v="North Georgia College and State University"/>
    <n v="140669"/>
    <x v="4"/>
    <s v="sem"/>
    <s v="sem"/>
    <m/>
    <m/>
    <n v="53026"/>
    <n v="56558"/>
    <n v="12329"/>
    <n v="11685"/>
    <n v="60183"/>
    <n v="61500"/>
    <n v="125538"/>
    <n v="0"/>
    <s v="—"/>
    <n v="4184.6000000000004"/>
    <n v="129743"/>
    <n v="129743"/>
    <n v="189"/>
    <n v="4324.7666666666664"/>
    <m/>
    <m/>
    <m/>
    <m/>
    <m/>
    <m/>
    <m/>
    <m/>
    <n v="0"/>
    <n v="0"/>
    <m/>
    <n v="0"/>
    <n v="0"/>
    <n v="0"/>
    <m/>
    <n v="0"/>
  </r>
  <r>
    <x v="4"/>
    <s v="Savannah State University"/>
    <n v="140960"/>
    <x v="4"/>
    <s v="sem"/>
    <s v="sem"/>
    <m/>
    <m/>
    <n v="40353"/>
    <n v="37883"/>
    <n v="9111"/>
    <n v="9232"/>
    <n v="38050"/>
    <n v="44929"/>
    <n v="87514"/>
    <n v="0"/>
    <s v="—"/>
    <n v="2917.1333333333332"/>
    <n v="92044"/>
    <n v="92044"/>
    <n v="221"/>
    <n v="3068.1333333333332"/>
    <m/>
    <m/>
    <m/>
    <m/>
    <m/>
    <m/>
    <m/>
    <m/>
    <n v="0"/>
    <n v="0"/>
    <m/>
    <n v="0"/>
    <n v="0"/>
    <n v="0"/>
    <m/>
    <n v="0"/>
  </r>
  <r>
    <x v="4"/>
    <s v="Clayton State University"/>
    <n v="139311"/>
    <x v="5"/>
    <s v="sem"/>
    <s v="sem"/>
    <m/>
    <m/>
    <n v="61429"/>
    <n v="61913"/>
    <n v="22584"/>
    <n v="23273"/>
    <n v="62939"/>
    <n v="63680"/>
    <n v="146952"/>
    <n v="0"/>
    <s v="—"/>
    <n v="4898.3999999999996"/>
    <n v="148866"/>
    <n v="148866"/>
    <n v="2599"/>
    <n v="4962.2"/>
    <m/>
    <m/>
    <m/>
    <m/>
    <m/>
    <m/>
    <m/>
    <m/>
    <n v="0"/>
    <n v="0"/>
    <m/>
    <n v="0"/>
    <n v="0"/>
    <n v="0"/>
    <m/>
    <n v="0"/>
  </r>
  <r>
    <x v="4"/>
    <s v="Macon State College "/>
    <n v="140322"/>
    <x v="5"/>
    <s v="sem"/>
    <s v="sem"/>
    <m/>
    <m/>
    <n v="59194"/>
    <n v="59003"/>
    <n v="25135"/>
    <n v="23920"/>
    <n v="63006"/>
    <n v="63523"/>
    <n v="147335"/>
    <n v="0"/>
    <s v="—"/>
    <n v="4911.166666666667"/>
    <n v="146446"/>
    <n v="146446"/>
    <n v="794"/>
    <n v="4881.5333333333338"/>
    <m/>
    <m/>
    <m/>
    <m/>
    <m/>
    <m/>
    <m/>
    <m/>
    <n v="0"/>
    <n v="0"/>
    <m/>
    <n v="0"/>
    <n v="0"/>
    <n v="0"/>
    <m/>
    <n v="0"/>
  </r>
  <r>
    <x v="4"/>
    <s v="Dalton State College "/>
    <n v="139463"/>
    <x v="12"/>
    <s v="sem"/>
    <s v="sem"/>
    <m/>
    <m/>
    <n v="38629"/>
    <n v="41952"/>
    <n v="11159"/>
    <n v="12194"/>
    <n v="45557"/>
    <n v="50966"/>
    <n v="95345"/>
    <n v="0"/>
    <s v="—"/>
    <n v="3178.1666666666665"/>
    <n v="105112"/>
    <n v="105112"/>
    <n v="906"/>
    <n v="3503.7333333333331"/>
    <m/>
    <m/>
    <m/>
    <m/>
    <m/>
    <m/>
    <m/>
    <m/>
    <n v="0"/>
    <n v="0"/>
    <m/>
    <n v="0"/>
    <n v="0"/>
    <n v="0"/>
    <m/>
    <n v="0"/>
  </r>
  <r>
    <x v="4"/>
    <s v="Georgia Perimeter College "/>
    <n v="244437"/>
    <x v="6"/>
    <s v="sem"/>
    <s v="sem"/>
    <m/>
    <m/>
    <n v="200436"/>
    <n v="202370"/>
    <n v="79495"/>
    <n v="79386"/>
    <n v="204417"/>
    <n v="215707"/>
    <n v="484348"/>
    <n v="0"/>
    <s v="—"/>
    <n v="16144.933333333332"/>
    <n v="497463"/>
    <n v="497463"/>
    <n v="9330"/>
    <n v="16582.099999999999"/>
    <m/>
    <m/>
    <m/>
    <m/>
    <m/>
    <m/>
    <m/>
    <m/>
    <n v="0"/>
    <n v="0"/>
    <m/>
    <n v="0"/>
    <n v="0"/>
    <n v="0"/>
    <m/>
    <n v="0"/>
  </r>
  <r>
    <x v="4"/>
    <s v="Abraham Baldwin Agricultural College "/>
    <n v="138558"/>
    <x v="7"/>
    <s v="sem"/>
    <s v="sem"/>
    <m/>
    <m/>
    <n v="35510"/>
    <n v="36552"/>
    <n v="8666"/>
    <n v="7671"/>
    <n v="42125"/>
    <n v="41998"/>
    <n v="86301"/>
    <n v="0"/>
    <s v="—"/>
    <n v="2876.7"/>
    <n v="86221"/>
    <n v="86221"/>
    <n v="399"/>
    <n v="2874.0333333333333"/>
    <m/>
    <m/>
    <m/>
    <m/>
    <m/>
    <m/>
    <m/>
    <m/>
    <n v="0"/>
    <n v="0"/>
    <m/>
    <n v="0"/>
    <n v="0"/>
    <n v="0"/>
    <m/>
    <n v="0"/>
  </r>
  <r>
    <x v="4"/>
    <s v="Bainbridge College "/>
    <n v="139010"/>
    <x v="7"/>
    <s v="sem"/>
    <s v="sem"/>
    <m/>
    <m/>
    <n v="25798"/>
    <n v="25200"/>
    <n v="12813"/>
    <n v="12440"/>
    <n v="25950"/>
    <n v="29642"/>
    <n v="64561"/>
    <n v="0"/>
    <s v="—"/>
    <n v="2152.0333333333333"/>
    <n v="67282"/>
    <n v="67282"/>
    <n v="3310"/>
    <n v="2242.7333333333331"/>
    <m/>
    <m/>
    <m/>
    <m/>
    <m/>
    <m/>
    <m/>
    <m/>
    <n v="0"/>
    <n v="0"/>
    <m/>
    <n v="0"/>
    <n v="0"/>
    <n v="0"/>
    <m/>
    <n v="0"/>
  </r>
  <r>
    <x v="4"/>
    <s v="College of Coastal Georgia "/>
    <n v="139250"/>
    <x v="7"/>
    <s v="sem"/>
    <s v="sem"/>
    <m/>
    <m/>
    <n v="26014"/>
    <n v="24689.5"/>
    <n v="8293"/>
    <n v="8288"/>
    <n v="26818"/>
    <n v="26820"/>
    <n v="61125"/>
    <n v="0"/>
    <s v="—"/>
    <n v="2037.5"/>
    <n v="59797.5"/>
    <n v="59797.5"/>
    <n v="549"/>
    <n v="1993.25"/>
    <m/>
    <m/>
    <m/>
    <m/>
    <m/>
    <m/>
    <m/>
    <m/>
    <n v="0"/>
    <n v="0"/>
    <m/>
    <n v="0"/>
    <n v="0"/>
    <n v="0"/>
    <m/>
    <n v="0"/>
  </r>
  <r>
    <x v="4"/>
    <s v="Darton College "/>
    <n v="138691"/>
    <x v="7"/>
    <s v="sem"/>
    <s v="sem"/>
    <m/>
    <m/>
    <n v="40783.5"/>
    <n v="42553.5"/>
    <n v="21254.5"/>
    <n v="21883"/>
    <n v="45918.5"/>
    <n v="49620.5"/>
    <n v="107956.5"/>
    <n v="0"/>
    <s v="—"/>
    <n v="3598.55"/>
    <n v="114057"/>
    <n v="114057"/>
    <n v="855"/>
    <n v="3801.9"/>
    <m/>
    <m/>
    <m/>
    <m/>
    <m/>
    <m/>
    <m/>
    <m/>
    <n v="0"/>
    <n v="0"/>
    <m/>
    <n v="0"/>
    <n v="0"/>
    <n v="0"/>
    <m/>
    <n v="0"/>
  </r>
  <r>
    <x v="4"/>
    <s v="Gainesville State College "/>
    <n v="139773"/>
    <x v="7"/>
    <s v="sem"/>
    <s v="sem"/>
    <m/>
    <m/>
    <n v="67478"/>
    <n v="76439"/>
    <n v="16143"/>
    <n v="19237"/>
    <n v="81992"/>
    <n v="91517"/>
    <n v="165613"/>
    <n v="0"/>
    <s v="—"/>
    <n v="5520.4333333333334"/>
    <n v="187193"/>
    <n v="187193"/>
    <n v="1415"/>
    <n v="6239.7666666666664"/>
    <m/>
    <m/>
    <m/>
    <m/>
    <m/>
    <m/>
    <m/>
    <m/>
    <n v="0"/>
    <n v="0"/>
    <m/>
    <n v="0"/>
    <n v="0"/>
    <n v="0"/>
    <m/>
    <n v="0"/>
  </r>
  <r>
    <x v="4"/>
    <s v="Georgia Highlands College"/>
    <n v="139700"/>
    <x v="7"/>
    <s v="sem"/>
    <s v="sem"/>
    <m/>
    <m/>
    <n v="38435"/>
    <n v="43495"/>
    <n v="10729"/>
    <n v="11293"/>
    <n v="45015"/>
    <n v="48965"/>
    <n v="94179"/>
    <n v="0"/>
    <s v="—"/>
    <n v="3139.3"/>
    <n v="103753"/>
    <n v="103753"/>
    <n v="849"/>
    <n v="3458.4333333333334"/>
    <m/>
    <m/>
    <m/>
    <m/>
    <m/>
    <m/>
    <m/>
    <m/>
    <n v="0"/>
    <n v="0"/>
    <m/>
    <n v="0"/>
    <n v="0"/>
    <n v="0"/>
    <m/>
    <n v="0"/>
  </r>
  <r>
    <x v="4"/>
    <s v="Gordon College "/>
    <n v="139968"/>
    <x v="7"/>
    <s v="sem"/>
    <s v="sem"/>
    <m/>
    <m/>
    <n v="38499"/>
    <n v="38237"/>
    <n v="6434"/>
    <n v="7129"/>
    <n v="41873"/>
    <n v="45210"/>
    <n v="86806"/>
    <n v="0"/>
    <s v="—"/>
    <n v="2893.5333333333333"/>
    <n v="90576"/>
    <n v="90576"/>
    <n v="658"/>
    <n v="3019.2"/>
    <m/>
    <m/>
    <m/>
    <m/>
    <m/>
    <m/>
    <m/>
    <m/>
    <n v="0"/>
    <n v="0"/>
    <m/>
    <n v="0"/>
    <n v="0"/>
    <n v="0"/>
    <m/>
    <n v="0"/>
  </r>
  <r>
    <x v="4"/>
    <s v="Middle Georgia College "/>
    <n v="140483"/>
    <x v="7"/>
    <s v="sem"/>
    <s v="sem"/>
    <m/>
    <m/>
    <n v="33045"/>
    <n v="36036"/>
    <n v="9447"/>
    <n v="10482"/>
    <n v="39541"/>
    <n v="38649"/>
    <n v="82033"/>
    <n v="0"/>
    <s v="—"/>
    <n v="2734.4333333333334"/>
    <n v="85167"/>
    <n v="85167"/>
    <n v="3542"/>
    <n v="2838.9"/>
    <m/>
    <m/>
    <m/>
    <m/>
    <m/>
    <m/>
    <m/>
    <m/>
    <n v="0"/>
    <n v="0"/>
    <m/>
    <n v="0"/>
    <n v="0"/>
    <n v="0"/>
    <m/>
    <n v="0"/>
  </r>
  <r>
    <x v="4"/>
    <s v="Atlanta Metropolitan College"/>
    <n v="138901"/>
    <x v="8"/>
    <s v="sem"/>
    <s v="sem"/>
    <m/>
    <m/>
    <n v="18211"/>
    <n v="20845"/>
    <n v="7592"/>
    <n v="9182"/>
    <n v="19873"/>
    <n v="23644"/>
    <n v="45676"/>
    <n v="0"/>
    <s v="—"/>
    <n v="1522.5333333333333"/>
    <n v="53671"/>
    <n v="53671"/>
    <n v="225"/>
    <n v="1789.0333333333333"/>
    <m/>
    <m/>
    <m/>
    <m/>
    <m/>
    <m/>
    <m/>
    <m/>
    <n v="0"/>
    <n v="0"/>
    <m/>
    <n v="0"/>
    <n v="0"/>
    <n v="0"/>
    <m/>
    <n v="0"/>
  </r>
  <r>
    <x v="4"/>
    <s v="East Georgia College"/>
    <n v="139621"/>
    <x v="8"/>
    <s v="sem"/>
    <s v="sem"/>
    <m/>
    <m/>
    <n v="18668"/>
    <n v="22043"/>
    <n v="4856"/>
    <n v="5889"/>
    <n v="22178"/>
    <n v="29401"/>
    <n v="45702"/>
    <n v="0"/>
    <s v="—"/>
    <n v="1523.4"/>
    <n v="57333"/>
    <n v="57333"/>
    <n v="311"/>
    <n v="1911.1"/>
    <m/>
    <m/>
    <m/>
    <m/>
    <m/>
    <m/>
    <m/>
    <m/>
    <n v="0"/>
    <n v="0"/>
    <m/>
    <n v="0"/>
    <n v="0"/>
    <n v="0"/>
    <m/>
    <n v="0"/>
  </r>
  <r>
    <x v="4"/>
    <s v="South Georgia College "/>
    <n v="140997"/>
    <x v="8"/>
    <s v="sem"/>
    <s v="sem"/>
    <m/>
    <m/>
    <n v="16451"/>
    <n v="19237"/>
    <n v="4754"/>
    <n v="5053"/>
    <n v="20616"/>
    <n v="22140"/>
    <n v="41821"/>
    <n v="0"/>
    <s v="—"/>
    <n v="1394.0333333333333"/>
    <n v="46430"/>
    <n v="46430"/>
    <n v="363"/>
    <n v="1547.6666666666667"/>
    <m/>
    <m/>
    <m/>
    <m/>
    <m/>
    <m/>
    <m/>
    <m/>
    <n v="0"/>
    <n v="0"/>
    <m/>
    <n v="0"/>
    <n v="0"/>
    <n v="0"/>
    <m/>
    <n v="0"/>
  </r>
  <r>
    <x v="4"/>
    <s v="Waycross College "/>
    <n v="141307"/>
    <x v="8"/>
    <s v="sem"/>
    <s v="sem"/>
    <m/>
    <m/>
    <n v="8421"/>
    <n v="8119"/>
    <n v="2528"/>
    <n v="2632"/>
    <n v="8787"/>
    <n v="8948"/>
    <n v="19736"/>
    <n v="0"/>
    <s v="—"/>
    <n v="657.86666666666667"/>
    <n v="19699"/>
    <n v="19699"/>
    <n v="544"/>
    <n v="656.63333333333333"/>
    <m/>
    <m/>
    <m/>
    <m/>
    <m/>
    <m/>
    <m/>
    <m/>
    <n v="0"/>
    <n v="0"/>
    <m/>
    <n v="0"/>
    <n v="0"/>
    <n v="0"/>
    <m/>
    <n v="0"/>
  </r>
  <r>
    <x v="4"/>
    <s v="Albany Technical College"/>
    <n v="138682"/>
    <x v="9"/>
    <s v="quar"/>
    <s v="quar"/>
    <n v="27671.5"/>
    <n v="30723"/>
    <n v="27562.5"/>
    <n v="30296"/>
    <n v="25864.5"/>
    <n v="25771"/>
    <n v="32156"/>
    <n v="35841"/>
    <n v="113254.5"/>
    <n v="113254.5"/>
    <n v="506"/>
    <n v="2516.7666666666669"/>
    <n v="122631"/>
    <n v="122631"/>
    <n v="772"/>
    <n v="2725.1333333333332"/>
    <m/>
    <m/>
    <m/>
    <m/>
    <m/>
    <m/>
    <m/>
    <m/>
    <n v="0"/>
    <n v="0"/>
    <m/>
    <n v="0"/>
    <n v="0"/>
    <n v="0"/>
    <m/>
    <n v="0"/>
  </r>
  <r>
    <x v="4"/>
    <s v="Athens Technical College"/>
    <n v="246813"/>
    <x v="9"/>
    <s v="quar"/>
    <s v="quar"/>
    <n v="35837"/>
    <n v="37721"/>
    <n v="31410"/>
    <n v="34707"/>
    <n v="19346"/>
    <n v="19584"/>
    <n v="40223"/>
    <n v="41236"/>
    <n v="126816"/>
    <n v="126816"/>
    <n v="2262"/>
    <n v="2818.1333333333332"/>
    <n v="133248"/>
    <n v="133248"/>
    <n v="2034"/>
    <n v="2961.0666666666666"/>
    <m/>
    <m/>
    <m/>
    <m/>
    <m/>
    <m/>
    <m/>
    <m/>
    <n v="0"/>
    <n v="0"/>
    <m/>
    <n v="0"/>
    <n v="0"/>
    <n v="0"/>
    <m/>
    <n v="0"/>
  </r>
  <r>
    <x v="4"/>
    <s v="Atlanta Technical College"/>
    <n v="138840"/>
    <x v="9"/>
    <s v="quar"/>
    <s v="quar"/>
    <n v="33876"/>
    <n v="36958"/>
    <n v="34672"/>
    <n v="35226"/>
    <n v="29489"/>
    <n v="28404"/>
    <n v="37159"/>
    <n v="36532"/>
    <n v="135196"/>
    <n v="135196"/>
    <n v="2830"/>
    <n v="3004.3555555555554"/>
    <n v="137120"/>
    <n v="137120"/>
    <n v="2104"/>
    <n v="3047.1111111111113"/>
    <m/>
    <m/>
    <m/>
    <m/>
    <m/>
    <m/>
    <m/>
    <m/>
    <n v="0"/>
    <n v="0"/>
    <m/>
    <n v="0"/>
    <n v="0"/>
    <n v="0"/>
    <m/>
    <n v="0"/>
  </r>
  <r>
    <x v="4"/>
    <s v="Augusta Technical College"/>
    <n v="138956"/>
    <x v="9"/>
    <s v="quar"/>
    <s v="quar"/>
    <n v="43847"/>
    <n v="46224"/>
    <n v="41982"/>
    <n v="43305"/>
    <n v="32683"/>
    <n v="33391"/>
    <n v="50643"/>
    <n v="51563"/>
    <n v="169155"/>
    <n v="169155"/>
    <n v="1709"/>
    <n v="3759"/>
    <n v="174483"/>
    <n v="174483"/>
    <n v="1651"/>
    <n v="3877.4"/>
    <m/>
    <m/>
    <m/>
    <m/>
    <m/>
    <m/>
    <m/>
    <m/>
    <n v="0"/>
    <n v="0"/>
    <m/>
    <n v="0"/>
    <n v="0"/>
    <n v="0"/>
    <m/>
    <n v="0"/>
  </r>
  <r>
    <x v="4"/>
    <s v="Central Georgia Technical College"/>
    <n v="140304"/>
    <x v="9"/>
    <s v="quar"/>
    <s v="quar"/>
    <n v="51715"/>
    <n v="51449"/>
    <n v="48196"/>
    <n v="47131"/>
    <n v="39999"/>
    <n v="40738"/>
    <n v="54007"/>
    <n v="58962"/>
    <n v="193917"/>
    <n v="193917"/>
    <n v="3939"/>
    <n v="4309.2666666666664"/>
    <n v="198280"/>
    <n v="198280"/>
    <n v="3520"/>
    <n v="4406.2222222222226"/>
    <m/>
    <m/>
    <m/>
    <m/>
    <m/>
    <m/>
    <m/>
    <m/>
    <n v="0"/>
    <n v="0"/>
    <m/>
    <n v="0"/>
    <n v="0"/>
    <n v="0"/>
    <m/>
    <n v="0"/>
  </r>
  <r>
    <x v="4"/>
    <s v="Chattahoochee Technical College"/>
    <n v="140331"/>
    <x v="9"/>
    <s v="quar"/>
    <s v="quar"/>
    <n v="52022"/>
    <n v="53549"/>
    <n v="53135"/>
    <n v="54444"/>
    <n v="30130"/>
    <n v="33264"/>
    <n v="63690"/>
    <n v="60826"/>
    <n v="198977"/>
    <n v="198977"/>
    <n v="15417"/>
    <n v="4421.7111111111108"/>
    <n v="202083"/>
    <n v="202083"/>
    <n v="9835"/>
    <n v="4490.7333333333336"/>
    <m/>
    <m/>
    <m/>
    <m/>
    <m/>
    <m/>
    <m/>
    <m/>
    <n v="0"/>
    <n v="0"/>
    <m/>
    <n v="0"/>
    <n v="0"/>
    <n v="0"/>
    <m/>
    <n v="0"/>
  </r>
  <r>
    <x v="4"/>
    <s v="Columbus Technical College"/>
    <n v="139357"/>
    <x v="9"/>
    <s v="quar"/>
    <s v="quar"/>
    <n v="31660"/>
    <n v="34241"/>
    <n v="30091"/>
    <n v="32544"/>
    <n v="28818"/>
    <n v="28247"/>
    <n v="35411"/>
    <n v="37258"/>
    <n v="125980"/>
    <n v="125980"/>
    <n v="2623.4"/>
    <n v="2799.5555555555557"/>
    <n v="132290"/>
    <n v="132290"/>
    <n v="3100"/>
    <n v="2939.7777777777778"/>
    <m/>
    <m/>
    <m/>
    <m/>
    <m/>
    <m/>
    <m/>
    <m/>
    <n v="0"/>
    <n v="0"/>
    <m/>
    <n v="0"/>
    <n v="0"/>
    <n v="0"/>
    <m/>
    <n v="0"/>
  </r>
  <r>
    <x v="4"/>
    <s v="Coosa Valley Technical College"/>
    <n v="139384"/>
    <x v="9"/>
    <s v="quar"/>
    <s v="quar"/>
    <n v="26246"/>
    <n v="26686"/>
    <n v="24448"/>
    <n v="24285"/>
    <n v="20347"/>
    <n v="20422"/>
    <n v="27743"/>
    <n v="30806"/>
    <n v="98784"/>
    <n v="98784"/>
    <n v="1501"/>
    <n v="2195.1999999999998"/>
    <n v="102199"/>
    <n v="102199"/>
    <n v="1443"/>
    <n v="2271.088888888889"/>
    <m/>
    <m/>
    <m/>
    <m/>
    <m/>
    <m/>
    <m/>
    <m/>
    <n v="0"/>
    <n v="0"/>
    <m/>
    <n v="0"/>
    <n v="0"/>
    <n v="0"/>
    <m/>
    <n v="0"/>
  </r>
  <r>
    <x v="4"/>
    <s v="DeKalb Technical College"/>
    <n v="244446"/>
    <x v="9"/>
    <s v="quar"/>
    <s v="quar"/>
    <n v="35722"/>
    <n v="37223"/>
    <n v="35227.5"/>
    <n v="35850"/>
    <n v="29700.5"/>
    <n v="30239"/>
    <n v="38189.5"/>
    <n v="40825"/>
    <n v="138839.5"/>
    <n v="138839.5"/>
    <n v="2603"/>
    <n v="3085.3222222222221"/>
    <n v="144137"/>
    <n v="144137"/>
    <n v="3102.6"/>
    <n v="3203.0444444444443"/>
    <m/>
    <m/>
    <m/>
    <m/>
    <m/>
    <m/>
    <m/>
    <m/>
    <n v="0"/>
    <n v="0"/>
    <m/>
    <n v="0"/>
    <n v="0"/>
    <n v="0"/>
    <m/>
    <n v="0"/>
  </r>
  <r>
    <x v="4"/>
    <s v="East Central Technical College"/>
    <n v="139126"/>
    <x v="9"/>
    <s v="quar"/>
    <s v="quar"/>
    <n v="11534"/>
    <n v="12578"/>
    <n v="11191"/>
    <n v="11822"/>
    <n v="10272"/>
    <n v="10447"/>
    <n v="14360"/>
    <n v="15667"/>
    <n v="47357"/>
    <n v="47357"/>
    <n v="3911"/>
    <n v="1052.3777777777777"/>
    <n v="50514"/>
    <n v="50514"/>
    <n v="3560"/>
    <n v="1122.5333333333333"/>
    <m/>
    <m/>
    <m/>
    <m/>
    <m/>
    <m/>
    <m/>
    <m/>
    <n v="0"/>
    <n v="0"/>
    <m/>
    <n v="0"/>
    <n v="0"/>
    <n v="0"/>
    <m/>
    <n v="0"/>
  </r>
  <r>
    <x v="4"/>
    <s v="Griffin Technical College"/>
    <n v="139986"/>
    <x v="9"/>
    <s v="quar"/>
    <s v="quar"/>
    <n v="34764"/>
    <n v="40837"/>
    <n v="34108"/>
    <n v="38777"/>
    <n v="28825"/>
    <n v="32106"/>
    <n v="42671"/>
    <n v="44413"/>
    <n v="140368"/>
    <n v="140368"/>
    <n v="4590"/>
    <n v="3119.2888888888888"/>
    <n v="156133"/>
    <n v="156133"/>
    <n v="3498"/>
    <n v="3469.6222222222223"/>
    <m/>
    <m/>
    <m/>
    <m/>
    <m/>
    <m/>
    <m/>
    <m/>
    <n v="0"/>
    <n v="0"/>
    <m/>
    <n v="0"/>
    <n v="0"/>
    <n v="0"/>
    <m/>
    <n v="0"/>
  </r>
  <r>
    <x v="4"/>
    <s v="Gwinnett Technical College"/>
    <n v="140012"/>
    <x v="9"/>
    <s v="quar"/>
    <s v="quar"/>
    <n v="41697"/>
    <n v="50175"/>
    <n v="43447"/>
    <n v="49317"/>
    <n v="29484"/>
    <n v="35130"/>
    <n v="52657"/>
    <n v="59232"/>
    <n v="167285"/>
    <n v="167285"/>
    <n v="233"/>
    <n v="3717.4444444444443"/>
    <n v="193854"/>
    <n v="193854"/>
    <n v="325"/>
    <n v="4307.8666666666668"/>
    <m/>
    <m/>
    <m/>
    <m/>
    <m/>
    <m/>
    <m/>
    <m/>
    <n v="0"/>
    <n v="0"/>
    <m/>
    <n v="0"/>
    <n v="0"/>
    <n v="0"/>
    <m/>
    <n v="0"/>
  </r>
  <r>
    <x v="4"/>
    <s v="Heart of Georgia Technical College"/>
    <n v="140076"/>
    <x v="9"/>
    <s v="quar"/>
    <s v="quar"/>
    <n v="14525"/>
    <n v="12439"/>
    <n v="12669"/>
    <n v="11909"/>
    <n v="11292"/>
    <n v="10748"/>
    <n v="13784"/>
    <n v="14930"/>
    <n v="52270"/>
    <n v="52270"/>
    <n v="6568"/>
    <n v="1161.5555555555557"/>
    <n v="50026"/>
    <n v="50026"/>
    <n v="6170"/>
    <n v="1111.6888888888889"/>
    <m/>
    <m/>
    <m/>
    <m/>
    <m/>
    <m/>
    <m/>
    <m/>
    <n v="0"/>
    <n v="0"/>
    <m/>
    <n v="0"/>
    <n v="0"/>
    <n v="0"/>
    <m/>
    <n v="0"/>
  </r>
  <r>
    <x v="4"/>
    <s v="Lanier Technical College"/>
    <n v="140243"/>
    <x v="9"/>
    <s v="quar"/>
    <s v="quar"/>
    <n v="29326"/>
    <n v="31781"/>
    <n v="28725"/>
    <n v="28350"/>
    <n v="22778"/>
    <n v="22929"/>
    <n v="32464"/>
    <n v="30690.5"/>
    <n v="113293"/>
    <n v="113293"/>
    <n v="3151"/>
    <n v="2517.6222222222223"/>
    <n v="113750.5"/>
    <n v="113750.5"/>
    <n v="2786.5"/>
    <n v="2527.7888888888888"/>
    <m/>
    <m/>
    <m/>
    <m/>
    <m/>
    <m/>
    <m/>
    <m/>
    <n v="0"/>
    <n v="0"/>
    <m/>
    <n v="0"/>
    <n v="0"/>
    <n v="0"/>
    <m/>
    <n v="0"/>
  </r>
  <r>
    <x v="4"/>
    <s v="Middle Georgia Technical College"/>
    <n v="140085"/>
    <x v="9"/>
    <s v="quar"/>
    <s v="quar"/>
    <n v="28633"/>
    <n v="29826"/>
    <n v="26037"/>
    <n v="30405"/>
    <n v="23367"/>
    <n v="23566"/>
    <n v="32853"/>
    <n v="29831"/>
    <n v="110890"/>
    <n v="110890"/>
    <n v="5039"/>
    <n v="2464.2222222222222"/>
    <n v="113628"/>
    <n v="113628"/>
    <n v="6183"/>
    <n v="2525.0666666666666"/>
    <m/>
    <m/>
    <m/>
    <m/>
    <m/>
    <m/>
    <m/>
    <m/>
    <n v="0"/>
    <n v="0"/>
    <m/>
    <n v="0"/>
    <n v="0"/>
    <n v="0"/>
    <m/>
    <n v="0"/>
  </r>
  <r>
    <x v="4"/>
    <s v="Moultrie Technical College"/>
    <n v="140599"/>
    <x v="9"/>
    <s v="quar"/>
    <s v="quar"/>
    <n v="20408"/>
    <n v="20992"/>
    <n v="19334"/>
    <n v="19199"/>
    <n v="17729"/>
    <n v="17239"/>
    <n v="22524"/>
    <n v="24359"/>
    <n v="79995"/>
    <n v="79995"/>
    <n v="7761"/>
    <n v="1777.6666666666667"/>
    <n v="81789"/>
    <n v="81789"/>
    <n v="9166"/>
    <n v="1817.5333333333333"/>
    <m/>
    <m/>
    <m/>
    <m/>
    <m/>
    <m/>
    <m/>
    <m/>
    <n v="0"/>
    <n v="0"/>
    <m/>
    <n v="0"/>
    <n v="0"/>
    <n v="0"/>
    <m/>
    <n v="0"/>
  </r>
  <r>
    <x v="4"/>
    <s v="North Georgia Technical College"/>
    <n v="140678"/>
    <x v="9"/>
    <s v="quar"/>
    <s v="quar"/>
    <n v="23197"/>
    <n v="22413"/>
    <n v="20817"/>
    <n v="21175"/>
    <n v="18013"/>
    <n v="18541"/>
    <n v="23346"/>
    <n v="25318"/>
    <n v="85373"/>
    <n v="85373"/>
    <n v="909"/>
    <n v="1897.1777777777777"/>
    <n v="87447"/>
    <n v="87447"/>
    <n v="972.1"/>
    <n v="1943.2666666666667"/>
    <m/>
    <m/>
    <m/>
    <m/>
    <m/>
    <m/>
    <m/>
    <m/>
    <n v="0"/>
    <n v="0"/>
    <m/>
    <n v="0"/>
    <n v="0"/>
    <n v="0"/>
    <m/>
    <n v="0"/>
  </r>
  <r>
    <x v="4"/>
    <s v="North Metro Technical College"/>
    <n v="366456"/>
    <x v="9"/>
    <s v="quar"/>
    <s v="quar"/>
    <n v="18911"/>
    <n v="22703"/>
    <n v="18327"/>
    <n v="20861"/>
    <n v="13614"/>
    <n v="15368"/>
    <n v="22746"/>
    <n v="26940"/>
    <n v="73598"/>
    <n v="73598"/>
    <n v="1205"/>
    <n v="1635.5111111111112"/>
    <n v="85872"/>
    <n v="85872"/>
    <n v="1605"/>
    <n v="1908.2666666666667"/>
    <m/>
    <m/>
    <m/>
    <m/>
    <m/>
    <m/>
    <m/>
    <m/>
    <n v="0"/>
    <n v="0"/>
    <m/>
    <n v="0"/>
    <n v="0"/>
    <n v="0"/>
    <m/>
    <n v="0"/>
  </r>
  <r>
    <x v="4"/>
    <s v="Northwestern Technical College"/>
    <n v="141273"/>
    <x v="9"/>
    <s v="quar"/>
    <s v="quar"/>
    <n v="21999"/>
    <n v="22417"/>
    <n v="20996"/>
    <n v="22135"/>
    <n v="14709"/>
    <n v="16407"/>
    <n v="24271"/>
    <n v="25584"/>
    <n v="81975"/>
    <n v="81975"/>
    <n v="2970"/>
    <n v="1821.6666666666667"/>
    <n v="86543"/>
    <n v="86543"/>
    <n v="3075"/>
    <n v="1923.1777777777777"/>
    <m/>
    <m/>
    <m/>
    <m/>
    <m/>
    <m/>
    <m/>
    <m/>
    <n v="0"/>
    <n v="0"/>
    <m/>
    <n v="0"/>
    <n v="0"/>
    <n v="0"/>
    <m/>
    <n v="0"/>
  </r>
  <r>
    <x v="4"/>
    <s v="Ogeechee Technical College"/>
    <n v="366465"/>
    <x v="9"/>
    <s v="quar"/>
    <s v="quar"/>
    <n v="21437"/>
    <n v="19476"/>
    <n v="17958"/>
    <n v="17850"/>
    <n v="13363"/>
    <n v="13572"/>
    <n v="21105"/>
    <n v="20739"/>
    <n v="73863"/>
    <n v="73863"/>
    <n v="779"/>
    <n v="1641.4"/>
    <n v="71637"/>
    <n v="71637"/>
    <n v="1280"/>
    <n v="1591.9333333333334"/>
    <m/>
    <m/>
    <m/>
    <m/>
    <m/>
    <m/>
    <m/>
    <m/>
    <n v="0"/>
    <n v="0"/>
    <m/>
    <n v="0"/>
    <n v="0"/>
    <n v="0"/>
    <m/>
    <n v="0"/>
  </r>
  <r>
    <x v="4"/>
    <s v="Okefenokee Technical College"/>
    <n v="248776"/>
    <x v="9"/>
    <s v="quar"/>
    <s v="quar"/>
    <n v="13694"/>
    <n v="13366"/>
    <n v="11968"/>
    <n v="12115"/>
    <n v="11935"/>
    <n v="10978"/>
    <n v="14352"/>
    <n v="14066"/>
    <n v="51949"/>
    <n v="51949"/>
    <n v="3502.5"/>
    <n v="1154.4222222222222"/>
    <n v="50525"/>
    <n v="50525"/>
    <n v="3476"/>
    <n v="1122.7777777777778"/>
    <m/>
    <m/>
    <m/>
    <m/>
    <m/>
    <m/>
    <m/>
    <m/>
    <n v="0"/>
    <n v="0"/>
    <m/>
    <n v="0"/>
    <n v="0"/>
    <n v="0"/>
    <m/>
    <n v="0"/>
  </r>
  <r>
    <x v="4"/>
    <s v="Savannah Technical College"/>
    <n v="140942"/>
    <x v="9"/>
    <s v="quar"/>
    <s v="quar"/>
    <n v="41044"/>
    <n v="43516"/>
    <n v="37899"/>
    <n v="41137"/>
    <n v="29906"/>
    <n v="35251"/>
    <n v="44870"/>
    <n v="49076"/>
    <n v="153719"/>
    <n v="153719"/>
    <n v="3306.1"/>
    <n v="3415.9777777777776"/>
    <n v="168980"/>
    <n v="168980"/>
    <n v="4410"/>
    <n v="3755.1111111111113"/>
    <m/>
    <m/>
    <m/>
    <m/>
    <m/>
    <m/>
    <m/>
    <m/>
    <n v="0"/>
    <n v="0"/>
    <m/>
    <n v="0"/>
    <n v="0"/>
    <n v="0"/>
    <m/>
    <n v="0"/>
  </r>
  <r>
    <x v="4"/>
    <s v="South Georgia Technical College"/>
    <n v="141006"/>
    <x v="9"/>
    <s v="quar"/>
    <s v="quar"/>
    <n v="20272"/>
    <n v="19548"/>
    <n v="18258"/>
    <n v="19291"/>
    <n v="16654"/>
    <n v="17501"/>
    <n v="20630"/>
    <n v="22969"/>
    <n v="75814"/>
    <n v="75814"/>
    <n v="3367"/>
    <n v="1684.7555555555555"/>
    <n v="79309"/>
    <n v="79309"/>
    <n v="3627"/>
    <n v="1762.4222222222222"/>
    <m/>
    <m/>
    <m/>
    <m/>
    <m/>
    <m/>
    <m/>
    <m/>
    <n v="0"/>
    <n v="0"/>
    <m/>
    <n v="0"/>
    <n v="0"/>
    <n v="0"/>
    <m/>
    <n v="0"/>
  </r>
  <r>
    <x v="4"/>
    <s v="Southwest Georgia Technical College"/>
    <n v="141158"/>
    <x v="9"/>
    <s v="quar"/>
    <s v="quar"/>
    <n v="12664"/>
    <n v="12121.5"/>
    <n v="10688.7"/>
    <n v="10669"/>
    <n v="10256.200000000001"/>
    <n v="10679"/>
    <n v="13231.4"/>
    <n v="14205.1"/>
    <n v="46840.3"/>
    <n v="46840.3"/>
    <n v="3619.9"/>
    <n v="1040.8955555555556"/>
    <n v="47674.6"/>
    <n v="47674.6"/>
    <n v="4596.6000000000004"/>
    <n v="1059.4355555555555"/>
    <m/>
    <m/>
    <m/>
    <m/>
    <m/>
    <m/>
    <m/>
    <m/>
    <n v="0"/>
    <n v="0"/>
    <m/>
    <n v="0"/>
    <n v="0"/>
    <n v="0"/>
    <m/>
    <n v="0"/>
  </r>
  <r>
    <x v="4"/>
    <s v="Valdosta Technical College"/>
    <n v="141255"/>
    <x v="9"/>
    <s v="quar"/>
    <s v="quar"/>
    <n v="23554"/>
    <n v="24887"/>
    <n v="20716"/>
    <n v="22317"/>
    <n v="19766"/>
    <n v="19855"/>
    <n v="24127"/>
    <n v="24989"/>
    <n v="88163"/>
    <n v="88163"/>
    <n v="5771"/>
    <n v="1959.1777777777777"/>
    <n v="92048"/>
    <n v="92048"/>
    <n v="5452"/>
    <n v="2045.5111111111112"/>
    <m/>
    <m/>
    <m/>
    <m/>
    <m/>
    <m/>
    <m/>
    <m/>
    <n v="0"/>
    <n v="0"/>
    <m/>
    <n v="0"/>
    <n v="0"/>
    <n v="0"/>
    <m/>
    <n v="0"/>
  </r>
  <r>
    <x v="4"/>
    <s v="West Central Technical College"/>
    <n v="139278"/>
    <x v="9"/>
    <s v="quar"/>
    <s v="quar"/>
    <n v="27581"/>
    <n v="32513"/>
    <n v="25720"/>
    <n v="30952"/>
    <n v="20763"/>
    <n v="23525"/>
    <n v="33042"/>
    <n v="38345"/>
    <n v="107106"/>
    <n v="107106"/>
    <n v="4983"/>
    <n v="2380.1333333333332"/>
    <n v="125335"/>
    <n v="125335"/>
    <n v="6293"/>
    <n v="2785.2222222222222"/>
    <m/>
    <m/>
    <m/>
    <m/>
    <m/>
    <m/>
    <m/>
    <m/>
    <n v="0"/>
    <n v="0"/>
    <m/>
    <n v="0"/>
    <n v="0"/>
    <n v="0"/>
    <m/>
    <n v="0"/>
  </r>
  <r>
    <x v="4"/>
    <s v="West Georgia Technical College"/>
    <n v="141228"/>
    <x v="9"/>
    <s v="quar"/>
    <s v="quar"/>
    <n v="17047"/>
    <n v="16706"/>
    <n v="15556.5"/>
    <n v="15215"/>
    <n v="13225"/>
    <n v="12979"/>
    <n v="17925"/>
    <n v="18053"/>
    <n v="63753.5"/>
    <n v="63753.5"/>
    <n v="2782"/>
    <n v="1416.7444444444445"/>
    <n v="62953"/>
    <n v="62953"/>
    <n v="2382"/>
    <n v="1398.9555555555555"/>
    <m/>
    <m/>
    <m/>
    <m/>
    <m/>
    <m/>
    <m/>
    <m/>
    <n v="0"/>
    <n v="0"/>
    <m/>
    <n v="0"/>
    <n v="0"/>
    <n v="0"/>
    <m/>
    <n v="0"/>
  </r>
  <r>
    <x v="4"/>
    <s v="Altamaha Technical College"/>
    <n v="366447"/>
    <x v="10"/>
    <s v="quar"/>
    <s v="quar"/>
    <n v="10381"/>
    <n v="8528"/>
    <n v="9626"/>
    <n v="8177"/>
    <n v="7801"/>
    <n v="7112"/>
    <n v="8850"/>
    <n v="8984"/>
    <n v="36658"/>
    <n v="36658"/>
    <n v="2265.3000000000002"/>
    <n v="814.62222222222226"/>
    <n v="32801"/>
    <n v="32801"/>
    <n v="2109"/>
    <n v="728.91111111111115"/>
    <m/>
    <m/>
    <m/>
    <m/>
    <m/>
    <m/>
    <m/>
    <m/>
    <n v="0"/>
    <n v="0"/>
    <m/>
    <n v="0"/>
    <n v="0"/>
    <n v="0"/>
    <m/>
    <n v="0"/>
  </r>
  <r>
    <x v="4"/>
    <s v="Appalachian Technical College"/>
    <n v="140809"/>
    <x v="10"/>
    <s v="quar"/>
    <s v="quar"/>
    <n v="10143"/>
    <n v="8296"/>
    <n v="7940"/>
    <n v="8974"/>
    <n v="6190"/>
    <n v="7772"/>
    <n v="9351"/>
    <n v="11198"/>
    <n v="33624"/>
    <n v="33624"/>
    <n v="612.29999999999995"/>
    <n v="747.2"/>
    <n v="36240"/>
    <n v="36240"/>
    <n v="424.8"/>
    <n v="805.33333333333337"/>
    <m/>
    <m/>
    <m/>
    <m/>
    <m/>
    <m/>
    <m/>
    <m/>
    <n v="0"/>
    <n v="0"/>
    <m/>
    <n v="0"/>
    <n v="0"/>
    <n v="0"/>
    <m/>
    <n v="0"/>
  </r>
  <r>
    <x v="4"/>
    <s v="Flint River Technical College"/>
    <n v="248794"/>
    <x v="10"/>
    <s v="quar"/>
    <s v="quar"/>
    <n v="9383.7999999999993"/>
    <n v="9185"/>
    <n v="8883.6"/>
    <n v="9073"/>
    <n v="8458.5"/>
    <n v="8428"/>
    <n v="10114"/>
    <n v="10473"/>
    <n v="36839.9"/>
    <n v="36839.9"/>
    <n v="1532"/>
    <n v="818.66444444444448"/>
    <n v="37159"/>
    <n v="37159"/>
    <n v="1156"/>
    <n v="825.75555555555559"/>
    <m/>
    <m/>
    <m/>
    <m/>
    <m/>
    <m/>
    <m/>
    <m/>
    <n v="0"/>
    <n v="0"/>
    <m/>
    <n v="0"/>
    <n v="0"/>
    <n v="0"/>
    <m/>
    <n v="0"/>
  </r>
  <r>
    <x v="4"/>
    <s v="Sandersville Technical College"/>
    <n v="420431"/>
    <x v="10"/>
    <s v="quar"/>
    <s v="quar"/>
    <n v="6912"/>
    <n v="6349"/>
    <n v="6920"/>
    <n v="5833"/>
    <n v="6168"/>
    <n v="5712"/>
    <n v="6867"/>
    <n v="7671"/>
    <n v="26867"/>
    <n v="26867"/>
    <n v="3635"/>
    <n v="597.04444444444448"/>
    <n v="25565"/>
    <n v="25565"/>
    <n v="3714"/>
    <n v="568.11111111111109"/>
    <m/>
    <m/>
    <m/>
    <m/>
    <m/>
    <m/>
    <m/>
    <m/>
    <n v="0"/>
    <n v="0"/>
    <m/>
    <n v="0"/>
    <n v="0"/>
    <n v="0"/>
    <m/>
    <n v="0"/>
  </r>
  <r>
    <x v="4"/>
    <s v="Southeastern Technical College"/>
    <n v="368911"/>
    <x v="10"/>
    <s v="quar"/>
    <s v="quar"/>
    <n v="9165"/>
    <n v="9628"/>
    <n v="8558"/>
    <n v="9906"/>
    <n v="7195"/>
    <n v="7805"/>
    <n v="9554"/>
    <n v="10910"/>
    <n v="34472"/>
    <n v="34472"/>
    <n v="753"/>
    <n v="766.04444444444448"/>
    <n v="38249"/>
    <n v="38249"/>
    <n v="1215"/>
    <n v="849.97777777777776"/>
    <m/>
    <m/>
    <m/>
    <m/>
    <m/>
    <m/>
    <m/>
    <m/>
    <n v="0"/>
    <n v="0"/>
    <m/>
    <n v="0"/>
    <n v="0"/>
    <n v="0"/>
    <m/>
    <n v="0"/>
  </r>
  <r>
    <x v="4"/>
    <s v="Swainsboro Technical College"/>
    <n v="141121"/>
    <x v="10"/>
    <s v="quar"/>
    <s v="quar"/>
    <n v="6394"/>
    <n v="6180"/>
    <n v="5655"/>
    <n v="5895"/>
    <n v="5276"/>
    <n v="5646"/>
    <n v="7140"/>
    <n v="6763"/>
    <n v="24465"/>
    <n v="24465"/>
    <n v="2065"/>
    <n v="543.66666666666663"/>
    <n v="24484"/>
    <n v="24484"/>
    <n v="2668"/>
    <n v="544.08888888888885"/>
    <m/>
    <m/>
    <m/>
    <m/>
    <m/>
    <m/>
    <m/>
    <m/>
    <n v="0"/>
    <n v="0"/>
    <m/>
    <n v="0"/>
    <n v="0"/>
    <n v="0"/>
    <m/>
    <n v="0"/>
  </r>
  <r>
    <x v="4"/>
    <s v="Georgia Gwinnett College"/>
    <n v="447689"/>
    <x v="11"/>
    <s v="sem"/>
    <s v="sem"/>
    <m/>
    <m/>
    <n v="1093"/>
    <n v="10164"/>
    <n v="395"/>
    <n v="2665"/>
    <n v="9204"/>
    <n v="18150"/>
    <n v="10692"/>
    <n v="10692"/>
    <n v="0"/>
    <n v="356.4"/>
    <n v="30979"/>
    <n v="30979"/>
    <n v="0"/>
    <n v="1032.6333333333334"/>
    <m/>
    <m/>
    <m/>
    <m/>
    <m/>
    <m/>
    <m/>
    <m/>
    <n v="0"/>
    <n v="0"/>
    <m/>
    <n v="0"/>
    <n v="0"/>
    <n v="0"/>
    <m/>
    <n v="0"/>
  </r>
  <r>
    <x v="5"/>
    <s v="University of Kentucky"/>
    <n v="157085"/>
    <x v="0"/>
    <s v="sem"/>
    <s v="sem"/>
    <m/>
    <m/>
    <n v="239638"/>
    <n v="232649"/>
    <n v="23828"/>
    <n v="23528"/>
    <n v="253163"/>
    <n v="258465"/>
    <n v="516629"/>
    <n v="516629"/>
    <n v="12"/>
    <n v="17220.966666666667"/>
    <n v="514642"/>
    <n v="514642"/>
    <n v="71"/>
    <n v="17154.733333333334"/>
    <m/>
    <m/>
    <m/>
    <m/>
    <m/>
    <m/>
    <m/>
    <m/>
    <n v="0"/>
    <n v="0"/>
    <m/>
    <n v="0"/>
    <n v="0"/>
    <n v="0"/>
    <m/>
    <n v="0"/>
  </r>
  <r>
    <x v="5"/>
    <s v="University of Louisville"/>
    <n v="157289"/>
    <x v="0"/>
    <s v="sem"/>
    <s v="sem"/>
    <m/>
    <m/>
    <n v="162643"/>
    <n v="169329"/>
    <n v="35780"/>
    <n v="36471"/>
    <n v="179710"/>
    <n v="182122"/>
    <n v="378133"/>
    <n v="378133"/>
    <n v="1195"/>
    <n v="12604.433333333332"/>
    <n v="387922"/>
    <n v="387922"/>
    <n v="1019"/>
    <n v="12930.733333333334"/>
    <m/>
    <m/>
    <m/>
    <m/>
    <m/>
    <m/>
    <m/>
    <m/>
    <n v="0"/>
    <n v="0"/>
    <m/>
    <n v="0"/>
    <n v="0"/>
    <n v="0"/>
    <m/>
    <n v="0"/>
  </r>
  <r>
    <x v="5"/>
    <s v="Eastern Kentucky University "/>
    <n v="156620"/>
    <x v="2"/>
    <s v="sem"/>
    <s v="sem"/>
    <m/>
    <m/>
    <n v="160222"/>
    <n v="162654"/>
    <n v="21767"/>
    <n v="22404"/>
    <n v="176169"/>
    <n v="178521"/>
    <n v="358158"/>
    <n v="358158"/>
    <n v="2396"/>
    <n v="11938.6"/>
    <n v="363579"/>
    <n v="363579"/>
    <n v="3251"/>
    <n v="12119.3"/>
    <m/>
    <m/>
    <m/>
    <m/>
    <m/>
    <m/>
    <m/>
    <m/>
    <n v="0"/>
    <n v="0"/>
    <m/>
    <n v="0"/>
    <n v="0"/>
    <n v="0"/>
    <m/>
    <n v="0"/>
  </r>
  <r>
    <x v="5"/>
    <s v="Murray State University "/>
    <n v="157401"/>
    <x v="2"/>
    <s v="sem"/>
    <s v="sem"/>
    <m/>
    <m/>
    <n v="104543"/>
    <n v="103294"/>
    <n v="13310"/>
    <n v="12382"/>
    <n v="112669"/>
    <n v="110391"/>
    <n v="230522"/>
    <n v="230522"/>
    <n v="1217"/>
    <n v="7684.0666666666666"/>
    <n v="226067"/>
    <n v="226067"/>
    <n v="1048"/>
    <n v="7535.5666666666666"/>
    <m/>
    <m/>
    <m/>
    <m/>
    <m/>
    <m/>
    <m/>
    <m/>
    <n v="0"/>
    <n v="0"/>
    <m/>
    <n v="0"/>
    <n v="0"/>
    <n v="0"/>
    <m/>
    <n v="0"/>
  </r>
  <r>
    <x v="5"/>
    <s v="Western Kentucky University "/>
    <n v="157951"/>
    <x v="2"/>
    <s v="sem"/>
    <s v="sem"/>
    <m/>
    <m/>
    <n v="198603"/>
    <n v="198343"/>
    <n v="22728"/>
    <n v="22630"/>
    <n v="210810"/>
    <n v="215647"/>
    <n v="432141"/>
    <n v="432141"/>
    <n v="6683"/>
    <n v="14404.7"/>
    <n v="436620"/>
    <n v="436620"/>
    <n v="10328"/>
    <n v="14554"/>
    <m/>
    <m/>
    <m/>
    <m/>
    <m/>
    <m/>
    <m/>
    <m/>
    <n v="0"/>
    <n v="0"/>
    <m/>
    <n v="0"/>
    <n v="0"/>
    <n v="0"/>
    <m/>
    <n v="0"/>
  </r>
  <r>
    <x v="5"/>
    <s v="Morehead State University "/>
    <n v="157386"/>
    <x v="3"/>
    <s v="sem"/>
    <s v="sem"/>
    <m/>
    <m/>
    <n v="86981"/>
    <n v="85653"/>
    <n v="9932"/>
    <n v="10560"/>
    <n v="94392"/>
    <n v="91603"/>
    <n v="191305"/>
    <n v="191305"/>
    <n v="2161"/>
    <n v="6376.833333333333"/>
    <n v="187816"/>
    <n v="187816"/>
    <n v="2604"/>
    <n v="6260.5333333333338"/>
    <m/>
    <m/>
    <m/>
    <m/>
    <m/>
    <m/>
    <m/>
    <m/>
    <n v="0"/>
    <n v="0"/>
    <m/>
    <n v="0"/>
    <n v="0"/>
    <n v="0"/>
    <m/>
    <n v="0"/>
  </r>
  <r>
    <x v="5"/>
    <s v="Northern Kentucky University "/>
    <n v="157447"/>
    <x v="3"/>
    <s v="sem"/>
    <s v="sem"/>
    <m/>
    <m/>
    <n v="139853"/>
    <n v="145575"/>
    <n v="20336"/>
    <n v="20141"/>
    <n v="153966"/>
    <n v="157920"/>
    <n v="314155"/>
    <n v="314155"/>
    <n v="2517"/>
    <n v="10471.833333333334"/>
    <n v="323636"/>
    <n v="323636"/>
    <n v="3176"/>
    <n v="10787.866666666667"/>
    <m/>
    <m/>
    <m/>
    <m/>
    <m/>
    <m/>
    <m/>
    <m/>
    <n v="0"/>
    <n v="0"/>
    <m/>
    <n v="0"/>
    <n v="0"/>
    <n v="0"/>
    <m/>
    <n v="0"/>
  </r>
  <r>
    <x v="5"/>
    <s v="Kentucky State University "/>
    <n v="157058"/>
    <x v="4"/>
    <s v="sem"/>
    <s v="sem"/>
    <m/>
    <m/>
    <n v="26031"/>
    <n v="27681"/>
    <n v="3805"/>
    <n v="4092"/>
    <n v="31299"/>
    <n v="30555"/>
    <n v="61135"/>
    <n v="61135"/>
    <n v="105"/>
    <n v="2037.8333333333333"/>
    <n v="62328"/>
    <n v="62328"/>
    <n v="100"/>
    <n v="2077.6"/>
    <m/>
    <m/>
    <m/>
    <m/>
    <m/>
    <m/>
    <m/>
    <m/>
    <n v="0"/>
    <n v="0"/>
    <m/>
    <n v="0"/>
    <n v="0"/>
    <n v="0"/>
    <m/>
    <n v="0"/>
  </r>
  <r>
    <x v="5"/>
    <s v="Bluegrass Community and Technical College"/>
    <n v="157173"/>
    <x v="6"/>
    <s v="sem"/>
    <s v="sem"/>
    <m/>
    <m/>
    <n v="95487"/>
    <n v="98581"/>
    <n v="15779"/>
    <n v="19290"/>
    <n v="104542"/>
    <n v="115233"/>
    <n v="215808"/>
    <n v="215808"/>
    <n v="4729"/>
    <n v="7193.6"/>
    <n v="233104"/>
    <n v="233104"/>
    <n v="5110"/>
    <n v="7770.1333333333332"/>
    <m/>
    <m/>
    <m/>
    <m/>
    <m/>
    <m/>
    <m/>
    <m/>
    <n v="0"/>
    <n v="0"/>
    <m/>
    <n v="0"/>
    <n v="0"/>
    <n v="0"/>
    <m/>
    <n v="0"/>
  </r>
  <r>
    <x v="5"/>
    <s v="Jefferson Community and Technical College "/>
    <n v="156921"/>
    <x v="6"/>
    <s v="sem"/>
    <s v="sem"/>
    <m/>
    <m/>
    <n v="103157"/>
    <n v="106679"/>
    <n v="17985"/>
    <n v="17461"/>
    <n v="119509"/>
    <n v="117609"/>
    <n v="240651"/>
    <n v="240651"/>
    <n v="16648"/>
    <n v="8021.7"/>
    <n v="241749"/>
    <n v="241749"/>
    <n v="12888"/>
    <n v="8058.3"/>
    <m/>
    <m/>
    <m/>
    <m/>
    <m/>
    <m/>
    <m/>
    <m/>
    <n v="0"/>
    <n v="0"/>
    <m/>
    <n v="0"/>
    <n v="0"/>
    <n v="0"/>
    <m/>
    <n v="0"/>
  </r>
  <r>
    <x v="5"/>
    <s v="Ashland Community and Technical College"/>
    <n v="156231"/>
    <x v="7"/>
    <s v="sem"/>
    <s v="sem"/>
    <m/>
    <m/>
    <n v="27827"/>
    <n v="26981"/>
    <n v="4054"/>
    <n v="4008"/>
    <n v="32831"/>
    <n v="36098"/>
    <n v="64712"/>
    <n v="64712"/>
    <n v="5304"/>
    <n v="2157.0666666666666"/>
    <n v="67087"/>
    <n v="67087"/>
    <n v="7641"/>
    <n v="2236.2333333333331"/>
    <m/>
    <m/>
    <m/>
    <m/>
    <m/>
    <m/>
    <m/>
    <m/>
    <n v="0"/>
    <n v="0"/>
    <m/>
    <n v="0"/>
    <n v="0"/>
    <n v="0"/>
    <m/>
    <n v="0"/>
  </r>
  <r>
    <x v="5"/>
    <s v="Big Sandy Community and Technical College "/>
    <n v="157553"/>
    <x v="7"/>
    <s v="sem"/>
    <s v="sem"/>
    <m/>
    <m/>
    <n v="31313"/>
    <n v="33501"/>
    <n v="5456"/>
    <n v="5409"/>
    <n v="39062"/>
    <n v="35901"/>
    <n v="75831"/>
    <n v="75831"/>
    <n v="5710"/>
    <n v="2527.6999999999998"/>
    <n v="74811"/>
    <n v="74811"/>
    <n v="2277"/>
    <n v="2493.6999999999998"/>
    <m/>
    <m/>
    <m/>
    <m/>
    <m/>
    <m/>
    <m/>
    <m/>
    <n v="0"/>
    <n v="0"/>
    <m/>
    <n v="0"/>
    <n v="0"/>
    <n v="0"/>
    <m/>
    <n v="0"/>
  </r>
  <r>
    <x v="5"/>
    <s v="Elizabethtown Community and Technical College "/>
    <n v="156648"/>
    <x v="7"/>
    <s v="sem"/>
    <s v="sem"/>
    <m/>
    <m/>
    <n v="38713"/>
    <n v="40917"/>
    <n v="6061"/>
    <n v="6680"/>
    <n v="43458"/>
    <n v="46417"/>
    <n v="88232"/>
    <n v="88232"/>
    <n v="1278"/>
    <n v="2941.0666666666666"/>
    <n v="94014"/>
    <n v="94014"/>
    <n v="1449"/>
    <n v="3133.8"/>
    <m/>
    <m/>
    <m/>
    <m/>
    <m/>
    <m/>
    <m/>
    <m/>
    <n v="0"/>
    <n v="0"/>
    <m/>
    <n v="0"/>
    <n v="0"/>
    <n v="0"/>
    <m/>
    <n v="0"/>
  </r>
  <r>
    <x v="5"/>
    <s v="Madisonville Community College"/>
    <n v="157304"/>
    <x v="7"/>
    <s v="sem"/>
    <s v="sem"/>
    <m/>
    <m/>
    <n v="26414"/>
    <n v="29463"/>
    <n v="3095"/>
    <n v="3902"/>
    <n v="31307"/>
    <n v="30484"/>
    <n v="60816"/>
    <n v="60816"/>
    <n v="4772"/>
    <n v="2027.2"/>
    <n v="63849"/>
    <n v="63849"/>
    <n v="5489"/>
    <n v="2128.3000000000002"/>
    <m/>
    <m/>
    <m/>
    <m/>
    <m/>
    <m/>
    <m/>
    <m/>
    <n v="0"/>
    <n v="0"/>
    <m/>
    <n v="0"/>
    <n v="0"/>
    <n v="0"/>
    <m/>
    <n v="0"/>
  </r>
  <r>
    <x v="5"/>
    <s v="Maysville Community and Technical College "/>
    <n v="157331"/>
    <x v="7"/>
    <s v="sem"/>
    <s v="sem"/>
    <m/>
    <m/>
    <n v="30314"/>
    <n v="32975"/>
    <n v="7208"/>
    <n v="6941"/>
    <n v="31711"/>
    <n v="34502"/>
    <n v="69233"/>
    <n v="69233"/>
    <n v="7505"/>
    <n v="2307.7666666666669"/>
    <n v="74418"/>
    <n v="74418"/>
    <n v="7188"/>
    <n v="2480.6"/>
    <m/>
    <m/>
    <m/>
    <m/>
    <m/>
    <m/>
    <m/>
    <m/>
    <n v="0"/>
    <n v="0"/>
    <m/>
    <n v="0"/>
    <n v="0"/>
    <n v="0"/>
    <m/>
    <n v="0"/>
  </r>
  <r>
    <x v="5"/>
    <s v="Owensboro Community and Technical College "/>
    <n v="247940"/>
    <x v="7"/>
    <s v="sem"/>
    <s v="sem"/>
    <m/>
    <m/>
    <n v="31312"/>
    <n v="34567"/>
    <n v="3856"/>
    <n v="3898"/>
    <n v="39011"/>
    <n v="41187"/>
    <n v="74179"/>
    <n v="74179"/>
    <n v="12582"/>
    <n v="2472.6333333333332"/>
    <n v="79652"/>
    <n v="79652"/>
    <n v="15207"/>
    <n v="2655.0666666666666"/>
    <m/>
    <m/>
    <m/>
    <m/>
    <m/>
    <m/>
    <m/>
    <m/>
    <n v="0"/>
    <n v="0"/>
    <m/>
    <n v="0"/>
    <n v="0"/>
    <n v="0"/>
    <m/>
    <n v="0"/>
  </r>
  <r>
    <x v="5"/>
    <s v="Somerset Community and Technical College "/>
    <n v="157711"/>
    <x v="7"/>
    <s v="sem"/>
    <s v="sem"/>
    <m/>
    <m/>
    <n v="49692"/>
    <n v="51932"/>
    <n v="7471"/>
    <n v="6205"/>
    <n v="56675"/>
    <n v="51934"/>
    <n v="113838"/>
    <n v="113838"/>
    <n v="7024"/>
    <n v="3794.6"/>
    <n v="110071"/>
    <n v="110071"/>
    <n v="6638"/>
    <n v="3669.0333333333333"/>
    <m/>
    <m/>
    <m/>
    <m/>
    <m/>
    <m/>
    <m/>
    <m/>
    <n v="0"/>
    <n v="0"/>
    <m/>
    <n v="0"/>
    <n v="0"/>
    <n v="0"/>
    <m/>
    <n v="0"/>
  </r>
  <r>
    <x v="5"/>
    <s v="Southeast Kentucky Community and Technical College"/>
    <n v="157739"/>
    <x v="7"/>
    <s v="sem"/>
    <s v="sem"/>
    <m/>
    <m/>
    <n v="27422"/>
    <n v="28171"/>
    <n v="3285"/>
    <n v="3205"/>
    <n v="30930"/>
    <n v="30423"/>
    <n v="61637"/>
    <n v="61637"/>
    <n v="7299"/>
    <n v="2054.5666666666666"/>
    <n v="61799"/>
    <n v="61799"/>
    <n v="6135"/>
    <n v="2059.9666666666667"/>
    <m/>
    <m/>
    <m/>
    <m/>
    <m/>
    <m/>
    <m/>
    <m/>
    <n v="0"/>
    <n v="0"/>
    <m/>
    <n v="0"/>
    <n v="0"/>
    <n v="0"/>
    <m/>
    <n v="0"/>
  </r>
  <r>
    <x v="5"/>
    <s v="West Kentucky Community and Technical College"/>
    <n v="157483"/>
    <x v="7"/>
    <s v="sem"/>
    <s v="sem"/>
    <m/>
    <m/>
    <n v="39783"/>
    <n v="40638"/>
    <n v="6615"/>
    <n v="7557"/>
    <n v="46438"/>
    <n v="47785"/>
    <n v="92836"/>
    <n v="92836"/>
    <n v="6872"/>
    <n v="3094.5333333333333"/>
    <n v="95980"/>
    <n v="95980"/>
    <n v="7360"/>
    <n v="3199.3333333333335"/>
    <m/>
    <m/>
    <m/>
    <m/>
    <m/>
    <m/>
    <m/>
    <m/>
    <n v="0"/>
    <n v="0"/>
    <m/>
    <n v="0"/>
    <n v="0"/>
    <n v="0"/>
    <m/>
    <n v="0"/>
  </r>
  <r>
    <x v="5"/>
    <s v="Hazard Community and Technical College"/>
    <n v="156790"/>
    <x v="8"/>
    <s v="sem"/>
    <s v="sem"/>
    <m/>
    <m/>
    <n v="25347"/>
    <n v="24961"/>
    <n v="2435"/>
    <n v="3177"/>
    <n v="30320"/>
    <n v="27640"/>
    <n v="58102"/>
    <n v="58102"/>
    <n v="3942"/>
    <n v="1936.7333333333333"/>
    <n v="55778"/>
    <n v="55778"/>
    <n v="4154"/>
    <n v="1859.2666666666667"/>
    <m/>
    <m/>
    <m/>
    <m/>
    <m/>
    <m/>
    <m/>
    <m/>
    <n v="0"/>
    <n v="0"/>
    <m/>
    <n v="0"/>
    <n v="0"/>
    <n v="0"/>
    <m/>
    <n v="0"/>
  </r>
  <r>
    <x v="5"/>
    <s v="Henderson Community College "/>
    <n v="156851"/>
    <x v="8"/>
    <s v="sem"/>
    <s v="sem"/>
    <m/>
    <m/>
    <n v="13955"/>
    <n v="16602"/>
    <n v="2961"/>
    <n v="3018"/>
    <n v="17054"/>
    <n v="17223"/>
    <n v="33970"/>
    <n v="33970"/>
    <n v="1671"/>
    <n v="1132.3333333333333"/>
    <n v="36843"/>
    <n v="36843"/>
    <n v="1529"/>
    <n v="1228.0999999999999"/>
    <m/>
    <m/>
    <m/>
    <m/>
    <m/>
    <m/>
    <m/>
    <m/>
    <n v="0"/>
    <n v="0"/>
    <m/>
    <n v="0"/>
    <n v="0"/>
    <n v="0"/>
    <m/>
    <n v="0"/>
  </r>
  <r>
    <x v="5"/>
    <s v="Hopkinsville Community College "/>
    <n v="156860"/>
    <x v="8"/>
    <s v="sem"/>
    <s v="sem"/>
    <m/>
    <m/>
    <n v="22002"/>
    <n v="24304"/>
    <n v="2480"/>
    <n v="3165"/>
    <n v="28352"/>
    <n v="28710"/>
    <n v="52834"/>
    <n v="52834"/>
    <n v="1662"/>
    <n v="1761.1333333333334"/>
    <n v="56179"/>
    <n v="56179"/>
    <n v="1229"/>
    <n v="1872.6333333333334"/>
    <m/>
    <m/>
    <m/>
    <m/>
    <m/>
    <m/>
    <m/>
    <m/>
    <n v="0"/>
    <n v="0"/>
    <m/>
    <n v="0"/>
    <n v="0"/>
    <n v="0"/>
    <m/>
    <n v="0"/>
  </r>
  <r>
    <x v="5"/>
    <s v="Bowling Green Technical College"/>
    <n v="156338"/>
    <x v="9"/>
    <s v="sem"/>
    <s v="sem"/>
    <m/>
    <m/>
    <n v="15572"/>
    <n v="16687"/>
    <n v="2198"/>
    <n v="2289"/>
    <n v="21364"/>
    <n v="20073"/>
    <n v="39134"/>
    <n v="39134"/>
    <n v="7083"/>
    <n v="1304.4666666666667"/>
    <n v="39049"/>
    <n v="39049"/>
    <n v="5245"/>
    <n v="1301.6333333333334"/>
    <m/>
    <m/>
    <m/>
    <m/>
    <m/>
    <m/>
    <m/>
    <m/>
    <n v="0"/>
    <n v="0"/>
    <m/>
    <n v="0"/>
    <n v="0"/>
    <n v="0"/>
    <m/>
    <n v="0"/>
  </r>
  <r>
    <x v="5"/>
    <s v="Gateway Community and Technical College"/>
    <n v="157438"/>
    <x v="9"/>
    <s v="sem"/>
    <s v="sem"/>
    <m/>
    <m/>
    <n v="19450"/>
    <n v="21339"/>
    <n v="2642"/>
    <n v="2888"/>
    <n v="22784"/>
    <n v="24590"/>
    <n v="44876"/>
    <n v="44876"/>
    <n v="3117"/>
    <n v="1495.8666666666666"/>
    <n v="48817"/>
    <n v="48817"/>
    <n v="2934"/>
    <n v="1627.2333333333333"/>
    <m/>
    <m/>
    <m/>
    <m/>
    <m/>
    <m/>
    <m/>
    <m/>
    <n v="0"/>
    <n v="0"/>
    <m/>
    <n v="0"/>
    <n v="0"/>
    <n v="0"/>
    <m/>
    <n v="0"/>
  </r>
  <r>
    <x v="6"/>
    <s v="Louisiana State University and A &amp; M College"/>
    <n v="159391"/>
    <x v="0"/>
    <s v="sem"/>
    <s v="sem"/>
    <n v="0"/>
    <m/>
    <n v="328757"/>
    <n v="314833"/>
    <n v="49450"/>
    <n v="45045"/>
    <n v="355844"/>
    <n v="357128"/>
    <n v="734051"/>
    <n v="734051"/>
    <n v="294"/>
    <n v="24468.366666666665"/>
    <n v="717006"/>
    <n v="717006"/>
    <n v="183"/>
    <n v="23900.2"/>
    <m/>
    <m/>
    <m/>
    <m/>
    <m/>
    <m/>
    <m/>
    <m/>
    <n v="0"/>
    <n v="0"/>
    <m/>
    <n v="0"/>
    <n v="0"/>
    <n v="0"/>
    <m/>
    <n v="0"/>
  </r>
  <r>
    <x v="6"/>
    <s v="Louisiana Tech University "/>
    <n v="159647"/>
    <x v="1"/>
    <s v="quar"/>
    <s v="quar"/>
    <n v="75674"/>
    <n v="70228"/>
    <n v="71371"/>
    <n v="66602"/>
    <n v="20148"/>
    <n v="18064"/>
    <n v="77559"/>
    <n v="76759"/>
    <n v="244752"/>
    <n v="244752"/>
    <n v="1681"/>
    <n v="5438.9333333333334"/>
    <n v="231653"/>
    <n v="231653"/>
    <n v="4613"/>
    <n v="5147.8444444444449"/>
    <m/>
    <m/>
    <m/>
    <m/>
    <m/>
    <m/>
    <m/>
    <m/>
    <n v="0"/>
    <n v="0"/>
    <m/>
    <n v="0"/>
    <n v="0"/>
    <n v="0"/>
    <m/>
    <n v="0"/>
  </r>
  <r>
    <x v="6"/>
    <s v="University of Louisiana at Lafayette"/>
    <n v="160658"/>
    <x v="1"/>
    <s v="sem"/>
    <s v="sem"/>
    <n v="0"/>
    <m/>
    <n v="181152"/>
    <n v="179733"/>
    <n v="24967"/>
    <n v="24241"/>
    <n v="197316"/>
    <n v="195625"/>
    <n v="403435"/>
    <n v="403435"/>
    <n v="711"/>
    <n v="13447.833333333334"/>
    <n v="399599"/>
    <n v="399599"/>
    <n v="663"/>
    <n v="13319.966666666667"/>
    <m/>
    <m/>
    <m/>
    <m/>
    <m/>
    <m/>
    <m/>
    <m/>
    <n v="0"/>
    <n v="0"/>
    <m/>
    <n v="0"/>
    <n v="0"/>
    <n v="0"/>
    <m/>
    <n v="0"/>
  </r>
  <r>
    <x v="6"/>
    <s v="University of New Orleans"/>
    <n v="159939"/>
    <x v="1"/>
    <s v="sem"/>
    <s v="sem"/>
    <n v="0"/>
    <m/>
    <n v="102534"/>
    <n v="99531"/>
    <n v="20363"/>
    <n v="19874"/>
    <n v="106456"/>
    <n v="107344"/>
    <n v="229353"/>
    <n v="229353"/>
    <n v="301"/>
    <n v="7645.1"/>
    <n v="226749"/>
    <n v="226749"/>
    <n v="277"/>
    <n v="7558.3"/>
    <m/>
    <m/>
    <m/>
    <m/>
    <m/>
    <m/>
    <m/>
    <m/>
    <n v="0"/>
    <n v="0"/>
    <m/>
    <n v="0"/>
    <n v="0"/>
    <n v="0"/>
    <m/>
    <n v="0"/>
  </r>
  <r>
    <x v="6"/>
    <s v="Southeastern Louisiana University "/>
    <n v="160612"/>
    <x v="2"/>
    <s v="sem"/>
    <s v="sem"/>
    <n v="0"/>
    <m/>
    <n v="163100"/>
    <n v="159604"/>
    <n v="22763"/>
    <n v="21388"/>
    <n v="178801"/>
    <n v="180124"/>
    <n v="364664"/>
    <n v="364664"/>
    <n v="3029"/>
    <n v="12155.466666666667"/>
    <n v="361116"/>
    <n v="361116"/>
    <n v="4828"/>
    <n v="12037.2"/>
    <m/>
    <m/>
    <m/>
    <m/>
    <m/>
    <m/>
    <m/>
    <m/>
    <n v="0"/>
    <n v="0"/>
    <m/>
    <n v="0"/>
    <n v="0"/>
    <n v="0"/>
    <m/>
    <n v="0"/>
  </r>
  <r>
    <x v="6"/>
    <s v="Southern University and A&amp;M College at Baton Rouge "/>
    <n v="160621"/>
    <x v="2"/>
    <s v="sem"/>
    <s v="sem"/>
    <n v="0"/>
    <m/>
    <n v="104272"/>
    <n v="98889"/>
    <n v="22237"/>
    <n v="17868"/>
    <n v="105781"/>
    <n v="99920"/>
    <n v="232290"/>
    <n v="232290"/>
    <n v="308"/>
    <n v="7743"/>
    <n v="216677"/>
    <n v="216677"/>
    <n v="66"/>
    <n v="7222.5666666666666"/>
    <m/>
    <m/>
    <m/>
    <m/>
    <m/>
    <m/>
    <m/>
    <m/>
    <n v="0"/>
    <n v="0"/>
    <m/>
    <n v="0"/>
    <n v="0"/>
    <n v="0"/>
    <m/>
    <n v="0"/>
  </r>
  <r>
    <x v="6"/>
    <s v="University of Louisiana at Monroe"/>
    <n v="159993"/>
    <x v="2"/>
    <s v="sem"/>
    <s v="sem"/>
    <n v="0"/>
    <m/>
    <n v="89626"/>
    <n v="83928"/>
    <n v="16564"/>
    <n v="16214"/>
    <n v="97662"/>
    <n v="95098"/>
    <n v="203852"/>
    <n v="203852"/>
    <n v="3333"/>
    <n v="6795.0666666666666"/>
    <n v="195240"/>
    <n v="195240"/>
    <n v="6427"/>
    <n v="6508"/>
    <m/>
    <m/>
    <m/>
    <m/>
    <m/>
    <m/>
    <m/>
    <m/>
    <n v="0"/>
    <n v="0"/>
    <m/>
    <n v="0"/>
    <n v="0"/>
    <n v="0"/>
    <m/>
    <n v="0"/>
  </r>
  <r>
    <x v="6"/>
    <s v="Grambling State University"/>
    <n v="159009"/>
    <x v="3"/>
    <s v="sem"/>
    <s v="sem"/>
    <n v="0"/>
    <m/>
    <n v="62080"/>
    <n v="64243"/>
    <n v="11457"/>
    <n v="10196"/>
    <n v="66263"/>
    <n v="68185"/>
    <n v="139800"/>
    <n v="139800"/>
    <n v="58"/>
    <n v="4660"/>
    <n v="142624"/>
    <n v="142624"/>
    <n v="125"/>
    <n v="4754.1333333333332"/>
    <m/>
    <m/>
    <m/>
    <m/>
    <m/>
    <m/>
    <m/>
    <m/>
    <n v="0"/>
    <n v="0"/>
    <m/>
    <n v="0"/>
    <n v="0"/>
    <n v="0"/>
    <m/>
    <n v="0"/>
  </r>
  <r>
    <x v="6"/>
    <s v="Louisiana State University in Shreveport"/>
    <n v="159416"/>
    <x v="3"/>
    <s v="sem"/>
    <s v="sem"/>
    <n v="0"/>
    <m/>
    <n v="37297"/>
    <n v="37785"/>
    <n v="8502"/>
    <n v="8384"/>
    <n v="40039"/>
    <n v="41914"/>
    <n v="85838"/>
    <n v="85838"/>
    <n v="408"/>
    <n v="2861.2666666666669"/>
    <n v="88083"/>
    <n v="88083"/>
    <n v="4520"/>
    <n v="2936.1"/>
    <m/>
    <m/>
    <m/>
    <m/>
    <m/>
    <m/>
    <m/>
    <m/>
    <n v="0"/>
    <n v="0"/>
    <m/>
    <n v="0"/>
    <n v="0"/>
    <n v="0"/>
    <m/>
    <n v="0"/>
  </r>
  <r>
    <x v="6"/>
    <s v="McNeese State University"/>
    <n v="159717"/>
    <x v="3"/>
    <s v="sem"/>
    <s v="sem"/>
    <n v="0"/>
    <m/>
    <n v="93944"/>
    <n v="92412"/>
    <n v="11064"/>
    <n v="11373"/>
    <n v="97815"/>
    <n v="100054"/>
    <n v="202823"/>
    <n v="202823"/>
    <n v="1593"/>
    <n v="6760.7666666666664"/>
    <n v="203839"/>
    <n v="203839"/>
    <n v="2852"/>
    <n v="6794.6333333333332"/>
    <m/>
    <m/>
    <m/>
    <m/>
    <m/>
    <m/>
    <m/>
    <m/>
    <n v="0"/>
    <n v="0"/>
    <m/>
    <n v="0"/>
    <n v="0"/>
    <n v="0"/>
    <m/>
    <n v="0"/>
  </r>
  <r>
    <x v="6"/>
    <s v="Nicholls State University "/>
    <n v="159966"/>
    <x v="3"/>
    <s v="sem"/>
    <s v="sem"/>
    <n v="0"/>
    <m/>
    <n v="75436"/>
    <n v="76760"/>
    <n v="11782"/>
    <n v="12286"/>
    <n v="82685"/>
    <n v="84910"/>
    <n v="169903"/>
    <n v="169903"/>
    <n v="952"/>
    <n v="5663.4333333333334"/>
    <n v="173956"/>
    <n v="173956"/>
    <n v="1928"/>
    <n v="5798.5333333333338"/>
    <m/>
    <m/>
    <m/>
    <m/>
    <m/>
    <m/>
    <m/>
    <m/>
    <n v="0"/>
    <n v="0"/>
    <m/>
    <n v="0"/>
    <n v="0"/>
    <n v="0"/>
    <m/>
    <n v="0"/>
  </r>
  <r>
    <x v="6"/>
    <s v="Northwestern State University"/>
    <n v="160038"/>
    <x v="3"/>
    <s v="sem"/>
    <s v="sem"/>
    <n v="0"/>
    <m/>
    <n v="98010"/>
    <n v="95584"/>
    <n v="21357"/>
    <n v="21194"/>
    <n v="102623"/>
    <n v="101155"/>
    <n v="221990"/>
    <n v="221990"/>
    <n v="2129"/>
    <n v="7399.666666666667"/>
    <n v="217933"/>
    <n v="217933"/>
    <n v="4802"/>
    <n v="7264.4333333333334"/>
    <m/>
    <m/>
    <m/>
    <m/>
    <m/>
    <m/>
    <m/>
    <m/>
    <n v="0"/>
    <n v="0"/>
    <m/>
    <n v="0"/>
    <n v="0"/>
    <n v="0"/>
    <m/>
    <n v="0"/>
  </r>
  <r>
    <x v="6"/>
    <s v="Southern University at New Orleans"/>
    <n v="160630"/>
    <x v="4"/>
    <s v="sem"/>
    <s v="sem"/>
    <n v="0"/>
    <m/>
    <n v="23202"/>
    <n v="28548"/>
    <n v="1884"/>
    <n v="1761"/>
    <n v="26912"/>
    <n v="29982"/>
    <n v="51998"/>
    <n v="51998"/>
    <n v="1038"/>
    <n v="1733.2666666666667"/>
    <n v="60291"/>
    <n v="60291"/>
    <n v="1103"/>
    <n v="2009.7"/>
    <m/>
    <m/>
    <m/>
    <m/>
    <m/>
    <m/>
    <m/>
    <m/>
    <n v="0"/>
    <n v="0"/>
    <m/>
    <n v="0"/>
    <n v="0"/>
    <n v="0"/>
    <m/>
    <n v="0"/>
  </r>
  <r>
    <x v="6"/>
    <s v="Louisiana State University at Alexandria"/>
    <n v="159382"/>
    <x v="12"/>
    <s v="sem"/>
    <s v="sem"/>
    <n v="0"/>
    <m/>
    <n v="26756"/>
    <n v="25547"/>
    <n v="4606"/>
    <n v="4330"/>
    <n v="26416"/>
    <n v="28249"/>
    <n v="57778"/>
    <n v="57778"/>
    <n v="2127"/>
    <n v="1925.9333333333334"/>
    <n v="58126"/>
    <n v="58126"/>
    <n v="4748"/>
    <n v="1937.5333333333333"/>
    <m/>
    <m/>
    <m/>
    <m/>
    <m/>
    <m/>
    <m/>
    <m/>
    <n v="0"/>
    <n v="0"/>
    <m/>
    <n v="0"/>
    <n v="0"/>
    <n v="0"/>
    <m/>
    <n v="0"/>
  </r>
  <r>
    <x v="6"/>
    <s v="Delgado Community College "/>
    <n v="158662"/>
    <x v="6"/>
    <s v="sem"/>
    <s v="sem"/>
    <n v="0"/>
    <m/>
    <n v="111054"/>
    <n v="124409"/>
    <n v="28525"/>
    <n v="30119"/>
    <n v="127565"/>
    <n v="136216"/>
    <n v="267144"/>
    <n v="267144"/>
    <n v="1015"/>
    <n v="8904.7999999999993"/>
    <n v="290744"/>
    <n v="290744"/>
    <n v="1562"/>
    <n v="9691.4666666666672"/>
    <m/>
    <m/>
    <m/>
    <m/>
    <m/>
    <m/>
    <m/>
    <m/>
    <n v="0"/>
    <n v="0"/>
    <m/>
    <n v="0"/>
    <n v="0"/>
    <n v="0"/>
    <m/>
    <n v="0"/>
  </r>
  <r>
    <x v="6"/>
    <s v="Baton Rouge Community College"/>
    <n v="437103"/>
    <x v="7"/>
    <s v="sem"/>
    <s v="sem"/>
    <n v="0"/>
    <m/>
    <n v="61280"/>
    <n v="64649"/>
    <n v="10499"/>
    <n v="14029"/>
    <n v="69820"/>
    <n v="73895"/>
    <n v="141599"/>
    <n v="141599"/>
    <n v="2856"/>
    <n v="4719.9666666666662"/>
    <n v="152573"/>
    <n v="152573"/>
    <n v="2698"/>
    <n v="5085.7666666666664"/>
    <m/>
    <m/>
    <m/>
    <m/>
    <m/>
    <m/>
    <m/>
    <m/>
    <n v="0"/>
    <n v="0"/>
    <m/>
    <n v="0"/>
    <n v="0"/>
    <n v="0"/>
    <m/>
    <n v="0"/>
  </r>
  <r>
    <x v="6"/>
    <s v="Bossier Parish Community College"/>
    <n v="158431"/>
    <x v="7"/>
    <s v="sem"/>
    <s v="sem"/>
    <n v="0"/>
    <m/>
    <n v="45601"/>
    <n v="47034"/>
    <n v="9200"/>
    <n v="9739"/>
    <n v="50615"/>
    <n v="48050"/>
    <n v="105416"/>
    <n v="105416"/>
    <n v="2395"/>
    <n v="3513.8666666666668"/>
    <n v="104823"/>
    <n v="104823"/>
    <n v="3041"/>
    <n v="3494.1"/>
    <m/>
    <m/>
    <m/>
    <m/>
    <m/>
    <m/>
    <m/>
    <m/>
    <n v="0"/>
    <n v="0"/>
    <m/>
    <n v="0"/>
    <n v="0"/>
    <n v="0"/>
    <m/>
    <n v="0"/>
  </r>
  <r>
    <x v="6"/>
    <s v="Louisiana State University at Eunice"/>
    <n v="159407"/>
    <x v="7"/>
    <s v="sem"/>
    <s v="sem"/>
    <n v="0"/>
    <m/>
    <n v="26113"/>
    <n v="26706"/>
    <n v="4615"/>
    <n v="4433"/>
    <n v="29056"/>
    <n v="29855"/>
    <n v="59784"/>
    <n v="59784"/>
    <n v="1598"/>
    <n v="1992.8"/>
    <n v="60994"/>
    <n v="60994"/>
    <n v="3078"/>
    <n v="2033.1333333333334"/>
    <m/>
    <m/>
    <m/>
    <m/>
    <m/>
    <m/>
    <m/>
    <m/>
    <n v="0"/>
    <n v="0"/>
    <m/>
    <n v="0"/>
    <n v="0"/>
    <n v="0"/>
    <m/>
    <n v="0"/>
  </r>
  <r>
    <x v="6"/>
    <s v="Louisiana Delta Community College"/>
    <n v="440624"/>
    <x v="8"/>
    <s v="sem"/>
    <s v="sem"/>
    <n v="0"/>
    <m/>
    <n v="9745"/>
    <n v="11696"/>
    <n v="3219"/>
    <n v="2995"/>
    <n v="12127"/>
    <n v="15431"/>
    <n v="25091"/>
    <n v="25091"/>
    <n v="2057"/>
    <n v="836.36666666666667"/>
    <n v="30122"/>
    <n v="30122"/>
    <n v="2684"/>
    <n v="1004.0666666666667"/>
    <m/>
    <m/>
    <m/>
    <m/>
    <m/>
    <m/>
    <m/>
    <m/>
    <n v="0"/>
    <n v="0"/>
    <m/>
    <n v="0"/>
    <n v="0"/>
    <n v="0"/>
    <m/>
    <n v="0"/>
  </r>
  <r>
    <x v="6"/>
    <s v="Nunez Community College"/>
    <n v="158884"/>
    <x v="8"/>
    <s v="sem"/>
    <s v="sem"/>
    <n v="0"/>
    <m/>
    <n v="10389"/>
    <n v="11991"/>
    <n v="2502"/>
    <n v="3204"/>
    <n v="11876"/>
    <n v="14004"/>
    <n v="24767"/>
    <n v="24767"/>
    <n v="2682"/>
    <n v="825.56666666666672"/>
    <n v="29199"/>
    <n v="29199"/>
    <n v="4014"/>
    <n v="973.3"/>
    <m/>
    <m/>
    <m/>
    <m/>
    <m/>
    <m/>
    <m/>
    <m/>
    <n v="0"/>
    <n v="0"/>
    <m/>
    <n v="0"/>
    <n v="0"/>
    <n v="0"/>
    <m/>
    <n v="0"/>
  </r>
  <r>
    <x v="6"/>
    <s v="River Parishes Community College"/>
    <n v="436304"/>
    <x v="8"/>
    <s v="sem"/>
    <s v="sem"/>
    <n v="0"/>
    <m/>
    <n v="8637"/>
    <n v="8835"/>
    <n v="1555"/>
    <n v="1698"/>
    <n v="9389"/>
    <n v="11227"/>
    <n v="19581"/>
    <n v="19581"/>
    <n v="789"/>
    <n v="652.70000000000005"/>
    <n v="21760"/>
    <n v="21760"/>
    <n v="1567"/>
    <n v="725.33333333333337"/>
    <m/>
    <m/>
    <m/>
    <m/>
    <m/>
    <m/>
    <m/>
    <m/>
    <n v="0"/>
    <n v="0"/>
    <m/>
    <n v="0"/>
    <n v="0"/>
    <n v="0"/>
    <m/>
    <n v="0"/>
  </r>
  <r>
    <x v="6"/>
    <s v="South Louisiana Community College"/>
    <n v="434061"/>
    <x v="8"/>
    <s v="sem"/>
    <s v="sem"/>
    <n v="0"/>
    <m/>
    <n v="21214"/>
    <n v="26543"/>
    <n v="4814"/>
    <n v="6601"/>
    <n v="25057"/>
    <n v="29724"/>
    <n v="51085"/>
    <n v="51085"/>
    <n v="3460"/>
    <n v="1702.8333333333333"/>
    <n v="62868"/>
    <n v="62868"/>
    <n v="4055"/>
    <n v="2095.6"/>
    <m/>
    <m/>
    <m/>
    <m/>
    <m/>
    <m/>
    <m/>
    <m/>
    <n v="0"/>
    <n v="0"/>
    <m/>
    <n v="0"/>
    <n v="0"/>
    <n v="0"/>
    <m/>
    <n v="0"/>
  </r>
  <r>
    <x v="6"/>
    <s v="Southern University in Shreveport"/>
    <n v="160649"/>
    <x v="8"/>
    <s v="sem"/>
    <s v="sem"/>
    <n v="0"/>
    <m/>
    <n v="24955"/>
    <n v="23871"/>
    <n v="7064"/>
    <n v="7417"/>
    <n v="24185"/>
    <n v="25175"/>
    <n v="56204"/>
    <n v="56204"/>
    <n v="2868"/>
    <n v="1873.4666666666667"/>
    <n v="56463"/>
    <n v="56463"/>
    <n v="2614"/>
    <n v="1882.1"/>
    <m/>
    <m/>
    <m/>
    <m/>
    <m/>
    <m/>
    <m/>
    <m/>
    <n v="0"/>
    <n v="0"/>
    <m/>
    <n v="0"/>
    <n v="0"/>
    <n v="0"/>
    <m/>
    <n v="0"/>
  </r>
  <r>
    <x v="6"/>
    <s v="Sowela Technical Community College"/>
    <n v="160579"/>
    <x v="9"/>
    <s v="sem"/>
    <s v="sem"/>
    <n v="0"/>
    <m/>
    <n v="17431"/>
    <n v="17967"/>
    <n v="6618"/>
    <n v="5384"/>
    <n v="18180"/>
    <n v="20402"/>
    <n v="42229"/>
    <n v="42229"/>
    <n v="987"/>
    <n v="1407.6333333333334"/>
    <n v="43753"/>
    <n v="43753"/>
    <n v="859"/>
    <n v="1458.4333333333334"/>
    <m/>
    <m/>
    <m/>
    <m/>
    <m/>
    <m/>
    <m/>
    <m/>
    <n v="0"/>
    <n v="0"/>
    <m/>
    <n v="0"/>
    <n v="0"/>
    <n v="0"/>
    <m/>
    <n v="0"/>
  </r>
  <r>
    <x v="6"/>
    <s v="L.E. Fletcher Technical Community College"/>
    <n v="160481"/>
    <x v="10"/>
    <s v="sem"/>
    <s v="sem"/>
    <n v="0"/>
    <m/>
    <n v="9470"/>
    <n v="10852"/>
    <n v="2600"/>
    <n v="2984.5"/>
    <n v="11604.5"/>
    <n v="13800"/>
    <n v="23674.5"/>
    <n v="23674.5"/>
    <n v="744"/>
    <n v="789.15"/>
    <n v="27636.5"/>
    <n v="27636.5"/>
    <n v="1116"/>
    <n v="921.2166666666667"/>
    <n v="0"/>
    <m/>
    <n v="23389"/>
    <n v="5836"/>
    <n v="6564"/>
    <n v="4371"/>
    <n v="26209"/>
    <n v="11481"/>
    <n v="56162"/>
    <n v="56162"/>
    <m/>
    <n v="62.402222222222221"/>
    <n v="21688"/>
    <n v="21688"/>
    <m/>
    <n v="24.097777777777779"/>
  </r>
  <r>
    <x v="6"/>
    <s v="Louisiana Technical College-all campuses"/>
    <m/>
    <x v="13"/>
    <s v="sem"/>
    <s v="sem"/>
    <n v="0"/>
    <m/>
    <n v="159069"/>
    <n v="172619"/>
    <n v="58999"/>
    <n v="61249"/>
    <n v="171758"/>
    <n v="188692.5"/>
    <n v="389826"/>
    <n v="389826"/>
    <n v="35050"/>
    <n v="12994.2"/>
    <n v="422560.5"/>
    <n v="422560.5"/>
    <n v="62615"/>
    <n v="14085.35"/>
    <n v="0"/>
    <m/>
    <n v="40616"/>
    <n v="36936.5"/>
    <n v="23746"/>
    <n v="20692"/>
    <n v="31490"/>
    <n v="30920"/>
    <n v="95852"/>
    <n v="95852"/>
    <m/>
    <n v="106.50222222222222"/>
    <n v="88548.5"/>
    <n v="88548.5"/>
    <m/>
    <n v="98.387222222222221"/>
  </r>
  <r>
    <x v="6"/>
    <s v="Louisiana Technical College- Alexandria Campus"/>
    <n v="158088"/>
    <x v="13"/>
    <s v="sem"/>
    <s v="sem"/>
    <m/>
    <m/>
    <m/>
    <m/>
    <m/>
    <m/>
    <m/>
    <m/>
    <n v="0"/>
    <n v="0"/>
    <m/>
    <n v="0"/>
    <n v="0"/>
    <n v="0"/>
    <m/>
    <n v="0"/>
    <m/>
    <m/>
    <m/>
    <m/>
    <m/>
    <m/>
    <m/>
    <m/>
    <n v="0"/>
    <n v="0"/>
    <m/>
    <n v="0"/>
    <n v="0"/>
    <n v="0"/>
    <m/>
    <n v="0"/>
  </r>
  <r>
    <x v="6"/>
    <s v="Louisiana Technical College-Acadian Campus"/>
    <n v="160560"/>
    <x v="13"/>
    <s v="sem"/>
    <s v="sem"/>
    <m/>
    <m/>
    <m/>
    <m/>
    <m/>
    <m/>
    <m/>
    <m/>
    <n v="0"/>
    <n v="0"/>
    <m/>
    <n v="0"/>
    <n v="0"/>
    <n v="0"/>
    <m/>
    <n v="0"/>
    <m/>
    <m/>
    <m/>
    <m/>
    <m/>
    <m/>
    <m/>
    <m/>
    <n v="0"/>
    <n v="0"/>
    <m/>
    <n v="0"/>
    <n v="0"/>
    <n v="0"/>
    <m/>
    <n v="0"/>
  </r>
  <r>
    <x v="6"/>
    <s v="Louisiana Technical College-Ascension Campus"/>
    <n v="158219"/>
    <x v="13"/>
    <s v="sem"/>
    <s v="sem"/>
    <m/>
    <m/>
    <m/>
    <m/>
    <m/>
    <m/>
    <m/>
    <m/>
    <n v="0"/>
    <n v="0"/>
    <m/>
    <n v="0"/>
    <n v="0"/>
    <n v="0"/>
    <m/>
    <n v="0"/>
    <m/>
    <m/>
    <m/>
    <m/>
    <m/>
    <m/>
    <m/>
    <m/>
    <n v="0"/>
    <n v="0"/>
    <m/>
    <n v="0"/>
    <n v="0"/>
    <n v="0"/>
    <m/>
    <n v="0"/>
  </r>
  <r>
    <x v="6"/>
    <s v="Louisiana Technical College-Avoyelles Campus"/>
    <n v="158237"/>
    <x v="13"/>
    <s v="sem"/>
    <s v="sem"/>
    <m/>
    <m/>
    <m/>
    <m/>
    <m/>
    <m/>
    <m/>
    <m/>
    <n v="0"/>
    <n v="0"/>
    <m/>
    <n v="0"/>
    <n v="0"/>
    <n v="0"/>
    <m/>
    <n v="0"/>
    <m/>
    <m/>
    <m/>
    <m/>
    <m/>
    <m/>
    <m/>
    <m/>
    <n v="0"/>
    <n v="0"/>
    <m/>
    <n v="0"/>
    <n v="0"/>
    <n v="0"/>
    <m/>
    <n v="0"/>
  </r>
  <r>
    <x v="6"/>
    <s v="Louisiana Technical College-Bastrop Campus"/>
    <n v="158307"/>
    <x v="13"/>
    <s v="sem"/>
    <s v="sem"/>
    <m/>
    <m/>
    <m/>
    <m/>
    <m/>
    <m/>
    <m/>
    <m/>
    <n v="0"/>
    <n v="0"/>
    <m/>
    <n v="0"/>
    <n v="0"/>
    <n v="0"/>
    <m/>
    <n v="0"/>
    <m/>
    <m/>
    <m/>
    <m/>
    <m/>
    <m/>
    <m/>
    <m/>
    <n v="0"/>
    <n v="0"/>
    <m/>
    <n v="0"/>
    <n v="0"/>
    <n v="0"/>
    <m/>
    <n v="0"/>
  </r>
  <r>
    <x v="6"/>
    <s v="Louisiana Technical College-Baton Rouge Campus"/>
    <n v="158352"/>
    <x v="13"/>
    <s v="sem"/>
    <s v="sem"/>
    <m/>
    <m/>
    <m/>
    <m/>
    <m/>
    <m/>
    <m/>
    <m/>
    <n v="0"/>
    <n v="0"/>
    <m/>
    <n v="0"/>
    <n v="0"/>
    <n v="0"/>
    <m/>
    <n v="0"/>
    <m/>
    <m/>
    <m/>
    <m/>
    <m/>
    <m/>
    <m/>
    <m/>
    <n v="0"/>
    <n v="0"/>
    <m/>
    <n v="0"/>
    <n v="0"/>
    <n v="0"/>
    <m/>
    <n v="0"/>
  </r>
  <r>
    <x v="6"/>
    <s v="Louisiana Technical College-Charles B. Coreil Campus"/>
    <n v="160816"/>
    <x v="13"/>
    <s v="sem"/>
    <s v="sem"/>
    <m/>
    <m/>
    <m/>
    <m/>
    <m/>
    <m/>
    <m/>
    <m/>
    <n v="0"/>
    <n v="0"/>
    <m/>
    <n v="0"/>
    <n v="0"/>
    <n v="0"/>
    <m/>
    <n v="0"/>
    <m/>
    <m/>
    <m/>
    <m/>
    <m/>
    <m/>
    <m/>
    <m/>
    <n v="0"/>
    <n v="0"/>
    <m/>
    <n v="0"/>
    <n v="0"/>
    <n v="0"/>
    <m/>
    <n v="0"/>
  </r>
  <r>
    <x v="6"/>
    <s v="Louisiana Technical College-Delta/Ouachita Campus"/>
    <n v="158769"/>
    <x v="13"/>
    <s v="sem"/>
    <s v="sem"/>
    <m/>
    <m/>
    <m/>
    <m/>
    <m/>
    <m/>
    <m/>
    <m/>
    <n v="0"/>
    <n v="0"/>
    <m/>
    <n v="0"/>
    <n v="0"/>
    <n v="0"/>
    <m/>
    <n v="0"/>
    <m/>
    <m/>
    <m/>
    <m/>
    <m/>
    <m/>
    <m/>
    <m/>
    <n v="0"/>
    <n v="0"/>
    <m/>
    <n v="0"/>
    <n v="0"/>
    <n v="0"/>
    <m/>
    <n v="0"/>
  </r>
  <r>
    <x v="6"/>
    <s v="Louisiana Technical College-Evangeline Campus"/>
    <n v="158893"/>
    <x v="13"/>
    <s v="sem"/>
    <s v="sem"/>
    <m/>
    <m/>
    <m/>
    <m/>
    <m/>
    <m/>
    <m/>
    <m/>
    <n v="0"/>
    <n v="0"/>
    <m/>
    <n v="0"/>
    <n v="0"/>
    <n v="0"/>
    <m/>
    <n v="0"/>
    <m/>
    <m/>
    <m/>
    <m/>
    <m/>
    <m/>
    <m/>
    <m/>
    <n v="0"/>
    <n v="0"/>
    <m/>
    <n v="0"/>
    <n v="0"/>
    <n v="0"/>
    <m/>
    <n v="0"/>
  </r>
  <r>
    <x v="6"/>
    <s v="Louisiana Technical College-Florida Parishes Campus"/>
    <n v="158936"/>
    <x v="13"/>
    <s v="sem"/>
    <s v="sem"/>
    <m/>
    <m/>
    <m/>
    <m/>
    <m/>
    <m/>
    <m/>
    <m/>
    <n v="0"/>
    <n v="0"/>
    <m/>
    <n v="0"/>
    <n v="0"/>
    <n v="0"/>
    <m/>
    <n v="0"/>
    <m/>
    <m/>
    <m/>
    <m/>
    <m/>
    <m/>
    <m/>
    <m/>
    <n v="0"/>
    <n v="0"/>
    <m/>
    <n v="0"/>
    <n v="0"/>
    <n v="0"/>
    <m/>
    <n v="0"/>
  </r>
  <r>
    <x v="6"/>
    <s v="Louisiana Technical College-Folkes Campus"/>
    <n v="158945"/>
    <x v="13"/>
    <s v="sem"/>
    <s v="sem"/>
    <m/>
    <m/>
    <m/>
    <m/>
    <m/>
    <m/>
    <m/>
    <m/>
    <n v="0"/>
    <n v="0"/>
    <m/>
    <n v="0"/>
    <n v="0"/>
    <n v="0"/>
    <m/>
    <n v="0"/>
    <m/>
    <m/>
    <m/>
    <m/>
    <m/>
    <m/>
    <m/>
    <m/>
    <n v="0"/>
    <n v="0"/>
    <m/>
    <n v="0"/>
    <n v="0"/>
    <n v="0"/>
    <m/>
    <n v="0"/>
  </r>
  <r>
    <x v="6"/>
    <s v="Louisiana Technical College-Gulf Area Campus"/>
    <n v="159018"/>
    <x v="13"/>
    <s v="sem"/>
    <s v="sem"/>
    <m/>
    <m/>
    <m/>
    <m/>
    <m/>
    <m/>
    <m/>
    <m/>
    <n v="0"/>
    <n v="0"/>
    <m/>
    <n v="0"/>
    <n v="0"/>
    <n v="0"/>
    <m/>
    <n v="0"/>
    <m/>
    <m/>
    <m/>
    <m/>
    <m/>
    <m/>
    <m/>
    <m/>
    <n v="0"/>
    <n v="0"/>
    <m/>
    <n v="0"/>
    <n v="0"/>
    <n v="0"/>
    <m/>
    <n v="0"/>
  </r>
  <r>
    <x v="6"/>
    <s v="Louisiana Technical College-Hammond Area Campus"/>
    <n v="159045"/>
    <x v="13"/>
    <s v="sem"/>
    <s v="sem"/>
    <m/>
    <m/>
    <m/>
    <m/>
    <m/>
    <m/>
    <m/>
    <m/>
    <n v="0"/>
    <n v="0"/>
    <m/>
    <n v="0"/>
    <n v="0"/>
    <n v="0"/>
    <m/>
    <n v="0"/>
    <m/>
    <m/>
    <m/>
    <m/>
    <m/>
    <m/>
    <m/>
    <m/>
    <n v="0"/>
    <n v="0"/>
    <m/>
    <n v="0"/>
    <n v="0"/>
    <n v="0"/>
    <m/>
    <n v="0"/>
  </r>
  <r>
    <x v="6"/>
    <s v="Louisiana Technical College-Huey P. Long Campus"/>
    <n v="159090"/>
    <x v="13"/>
    <s v="sem"/>
    <s v="sem"/>
    <m/>
    <m/>
    <m/>
    <m/>
    <m/>
    <m/>
    <m/>
    <m/>
    <n v="0"/>
    <n v="0"/>
    <m/>
    <n v="0"/>
    <n v="0"/>
    <n v="0"/>
    <m/>
    <n v="0"/>
    <m/>
    <m/>
    <m/>
    <m/>
    <m/>
    <m/>
    <m/>
    <m/>
    <n v="0"/>
    <n v="0"/>
    <m/>
    <n v="0"/>
    <n v="0"/>
    <n v="0"/>
    <m/>
    <n v="0"/>
  </r>
  <r>
    <x v="6"/>
    <s v="Louisiana Technical College-Jefferson Campus"/>
    <n v="159258"/>
    <x v="13"/>
    <s v="sem"/>
    <s v="sem"/>
    <m/>
    <m/>
    <m/>
    <m/>
    <m/>
    <m/>
    <m/>
    <m/>
    <n v="0"/>
    <n v="0"/>
    <m/>
    <n v="0"/>
    <n v="0"/>
    <n v="0"/>
    <m/>
    <n v="0"/>
    <m/>
    <m/>
    <m/>
    <m/>
    <m/>
    <m/>
    <m/>
    <m/>
    <n v="0"/>
    <n v="0"/>
    <m/>
    <n v="0"/>
    <n v="0"/>
    <n v="0"/>
    <m/>
    <n v="0"/>
  </r>
  <r>
    <x v="6"/>
    <s v="Louisiana Technical College-Jumonville Memorial Campus"/>
    <n v="160214"/>
    <x v="13"/>
    <s v="sem"/>
    <s v="sem"/>
    <m/>
    <m/>
    <m/>
    <m/>
    <m/>
    <m/>
    <m/>
    <m/>
    <n v="0"/>
    <n v="0"/>
    <m/>
    <n v="0"/>
    <n v="0"/>
    <n v="0"/>
    <m/>
    <n v="0"/>
    <m/>
    <m/>
    <m/>
    <m/>
    <m/>
    <m/>
    <m/>
    <m/>
    <n v="0"/>
    <n v="0"/>
    <m/>
    <n v="0"/>
    <n v="0"/>
    <n v="0"/>
    <m/>
    <n v="0"/>
  </r>
  <r>
    <x v="6"/>
    <s v="Louisiana Technical College-Lafayette Campus"/>
    <n v="159443"/>
    <x v="13"/>
    <s v="sem"/>
    <s v="sem"/>
    <m/>
    <m/>
    <m/>
    <m/>
    <m/>
    <m/>
    <m/>
    <m/>
    <n v="0"/>
    <n v="0"/>
    <m/>
    <n v="0"/>
    <n v="0"/>
    <n v="0"/>
    <m/>
    <n v="0"/>
    <m/>
    <m/>
    <m/>
    <m/>
    <m/>
    <m/>
    <m/>
    <m/>
    <n v="0"/>
    <n v="0"/>
    <m/>
    <n v="0"/>
    <n v="0"/>
    <n v="0"/>
    <m/>
    <n v="0"/>
  </r>
  <r>
    <x v="6"/>
    <s v="Louisiana Technical College-Lafourche Campus"/>
    <n v="160719"/>
    <x v="13"/>
    <s v="sem"/>
    <s v="sem"/>
    <m/>
    <m/>
    <m/>
    <m/>
    <m/>
    <m/>
    <m/>
    <m/>
    <n v="0"/>
    <n v="0"/>
    <m/>
    <n v="0"/>
    <n v="0"/>
    <n v="0"/>
    <m/>
    <n v="0"/>
    <m/>
    <m/>
    <m/>
    <m/>
    <m/>
    <m/>
    <m/>
    <m/>
    <n v="0"/>
    <n v="0"/>
    <m/>
    <n v="0"/>
    <n v="0"/>
    <n v="0"/>
    <m/>
    <n v="0"/>
  </r>
  <r>
    <x v="6"/>
    <s v="Louisiana Technical College-Lamar Salter Campus"/>
    <n v="160843"/>
    <x v="13"/>
    <s v="sem"/>
    <s v="sem"/>
    <m/>
    <m/>
    <m/>
    <m/>
    <m/>
    <m/>
    <m/>
    <m/>
    <n v="0"/>
    <n v="0"/>
    <m/>
    <n v="0"/>
    <n v="0"/>
    <n v="0"/>
    <m/>
    <n v="0"/>
    <m/>
    <m/>
    <m/>
    <m/>
    <m/>
    <m/>
    <m/>
    <m/>
    <n v="0"/>
    <n v="0"/>
    <m/>
    <n v="0"/>
    <n v="0"/>
    <n v="0"/>
    <m/>
    <n v="0"/>
  </r>
  <r>
    <x v="6"/>
    <s v="Louisiana Technical College-Mansfield Campus"/>
    <n v="159692"/>
    <x v="13"/>
    <s v="sem"/>
    <s v="sem"/>
    <m/>
    <m/>
    <m/>
    <m/>
    <m/>
    <m/>
    <m/>
    <m/>
    <n v="0"/>
    <n v="0"/>
    <m/>
    <n v="0"/>
    <n v="0"/>
    <n v="0"/>
    <m/>
    <n v="0"/>
    <m/>
    <m/>
    <m/>
    <m/>
    <m/>
    <m/>
    <m/>
    <m/>
    <n v="0"/>
    <n v="0"/>
    <m/>
    <n v="0"/>
    <n v="0"/>
    <n v="0"/>
    <m/>
    <n v="0"/>
  </r>
  <r>
    <x v="6"/>
    <s v="Louisiana Technical College-Morgan Smith Campus"/>
    <n v="159249"/>
    <x v="13"/>
    <s v="sem"/>
    <s v="sem"/>
    <m/>
    <m/>
    <m/>
    <m/>
    <m/>
    <m/>
    <m/>
    <m/>
    <n v="0"/>
    <n v="0"/>
    <m/>
    <n v="0"/>
    <n v="0"/>
    <n v="0"/>
    <m/>
    <n v="0"/>
    <m/>
    <m/>
    <m/>
    <m/>
    <m/>
    <m/>
    <m/>
    <m/>
    <n v="0"/>
    <n v="0"/>
    <m/>
    <n v="0"/>
    <n v="0"/>
    <n v="0"/>
    <m/>
    <n v="0"/>
  </r>
  <r>
    <x v="6"/>
    <s v="Louisiana Technical College-Nachitoches Campus"/>
    <n v="159823"/>
    <x v="13"/>
    <s v="sem"/>
    <s v="sem"/>
    <m/>
    <m/>
    <m/>
    <m/>
    <m/>
    <m/>
    <m/>
    <m/>
    <n v="0"/>
    <n v="0"/>
    <m/>
    <n v="0"/>
    <n v="0"/>
    <n v="0"/>
    <m/>
    <n v="0"/>
    <m/>
    <m/>
    <m/>
    <m/>
    <m/>
    <m/>
    <m/>
    <m/>
    <n v="0"/>
    <n v="0"/>
    <m/>
    <n v="0"/>
    <n v="0"/>
    <n v="0"/>
    <m/>
    <n v="0"/>
  </r>
  <r>
    <x v="6"/>
    <s v="Louisiana Technical College-North Central Campus"/>
    <n v="159984"/>
    <x v="13"/>
    <s v="sem"/>
    <s v="sem"/>
    <m/>
    <m/>
    <m/>
    <m/>
    <m/>
    <m/>
    <m/>
    <m/>
    <n v="0"/>
    <n v="0"/>
    <m/>
    <n v="0"/>
    <n v="0"/>
    <n v="0"/>
    <m/>
    <n v="0"/>
    <m/>
    <m/>
    <m/>
    <m/>
    <m/>
    <m/>
    <m/>
    <m/>
    <n v="0"/>
    <n v="0"/>
    <m/>
    <n v="0"/>
    <n v="0"/>
    <n v="0"/>
    <m/>
    <n v="0"/>
  </r>
  <r>
    <x v="6"/>
    <s v="Louisiana Technical College-Northeast Louisiana Campus"/>
    <n v="160001"/>
    <x v="13"/>
    <s v="sem"/>
    <s v="sem"/>
    <m/>
    <m/>
    <m/>
    <m/>
    <m/>
    <m/>
    <m/>
    <m/>
    <n v="0"/>
    <n v="0"/>
    <m/>
    <n v="0"/>
    <n v="0"/>
    <n v="0"/>
    <m/>
    <n v="0"/>
    <m/>
    <m/>
    <m/>
    <m/>
    <m/>
    <m/>
    <m/>
    <m/>
    <n v="0"/>
    <n v="0"/>
    <m/>
    <n v="0"/>
    <n v="0"/>
    <n v="0"/>
    <m/>
    <n v="0"/>
  </r>
  <r>
    <x v="6"/>
    <s v="Louisiana Technical College-Northwest Louisiana Campus"/>
    <n v="160010"/>
    <x v="13"/>
    <s v="sem"/>
    <s v="sem"/>
    <m/>
    <m/>
    <m/>
    <m/>
    <m/>
    <m/>
    <m/>
    <m/>
    <n v="0"/>
    <n v="0"/>
    <m/>
    <n v="0"/>
    <n v="0"/>
    <n v="0"/>
    <m/>
    <n v="0"/>
    <m/>
    <m/>
    <m/>
    <m/>
    <m/>
    <m/>
    <m/>
    <m/>
    <n v="0"/>
    <n v="0"/>
    <m/>
    <n v="0"/>
    <n v="0"/>
    <n v="0"/>
    <m/>
    <n v="0"/>
  </r>
  <r>
    <x v="6"/>
    <s v="Louisiana Technical College-Oakdale Campus"/>
    <n v="160047"/>
    <x v="13"/>
    <s v="sem"/>
    <s v="sem"/>
    <m/>
    <m/>
    <m/>
    <m/>
    <m/>
    <m/>
    <m/>
    <m/>
    <n v="0"/>
    <n v="0"/>
    <m/>
    <n v="0"/>
    <n v="0"/>
    <n v="0"/>
    <m/>
    <n v="0"/>
    <m/>
    <m/>
    <m/>
    <m/>
    <m/>
    <m/>
    <m/>
    <m/>
    <n v="0"/>
    <n v="0"/>
    <m/>
    <n v="0"/>
    <n v="0"/>
    <n v="0"/>
    <m/>
    <n v="0"/>
  </r>
  <r>
    <x v="6"/>
    <s v="Louisiana Technical College-River Parishes Campus"/>
    <n v="160311"/>
    <x v="13"/>
    <s v="sem"/>
    <s v="sem"/>
    <m/>
    <m/>
    <m/>
    <m/>
    <m/>
    <m/>
    <m/>
    <m/>
    <n v="0"/>
    <n v="0"/>
    <m/>
    <n v="0"/>
    <n v="0"/>
    <n v="0"/>
    <m/>
    <n v="0"/>
    <m/>
    <m/>
    <m/>
    <m/>
    <m/>
    <m/>
    <m/>
    <m/>
    <n v="0"/>
    <n v="0"/>
    <m/>
    <n v="0"/>
    <n v="0"/>
    <n v="0"/>
    <m/>
    <n v="0"/>
  </r>
  <r>
    <x v="6"/>
    <s v="Louisiana Technical College-Ruston Campus"/>
    <n v="160366"/>
    <x v="13"/>
    <s v="sem"/>
    <s v="sem"/>
    <m/>
    <m/>
    <m/>
    <m/>
    <m/>
    <m/>
    <m/>
    <m/>
    <n v="0"/>
    <n v="0"/>
    <m/>
    <n v="0"/>
    <n v="0"/>
    <n v="0"/>
    <m/>
    <n v="0"/>
    <m/>
    <m/>
    <m/>
    <m/>
    <m/>
    <m/>
    <m/>
    <m/>
    <n v="0"/>
    <n v="0"/>
    <m/>
    <n v="0"/>
    <n v="0"/>
    <n v="0"/>
    <m/>
    <n v="0"/>
  </r>
  <r>
    <x v="6"/>
    <s v="Louisiana Technical College-Sabine Valley Campus"/>
    <n v="160384"/>
    <x v="13"/>
    <s v="sem"/>
    <s v="sem"/>
    <m/>
    <m/>
    <m/>
    <m/>
    <m/>
    <m/>
    <m/>
    <m/>
    <n v="0"/>
    <n v="0"/>
    <m/>
    <n v="0"/>
    <n v="0"/>
    <n v="0"/>
    <m/>
    <n v="0"/>
    <m/>
    <m/>
    <m/>
    <m/>
    <m/>
    <m/>
    <m/>
    <m/>
    <n v="0"/>
    <n v="0"/>
    <m/>
    <n v="0"/>
    <n v="0"/>
    <n v="0"/>
    <m/>
    <n v="0"/>
  </r>
  <r>
    <x v="6"/>
    <s v="Louisiana Technical College-Shelby M. Jackson Campus"/>
    <n v="158583"/>
    <x v="13"/>
    <s v="sem"/>
    <s v="sem"/>
    <m/>
    <m/>
    <m/>
    <m/>
    <m/>
    <m/>
    <m/>
    <m/>
    <n v="0"/>
    <n v="0"/>
    <m/>
    <n v="0"/>
    <n v="0"/>
    <n v="0"/>
    <m/>
    <n v="0"/>
    <m/>
    <m/>
    <m/>
    <m/>
    <m/>
    <m/>
    <m/>
    <m/>
    <n v="0"/>
    <n v="0"/>
    <m/>
    <n v="0"/>
    <n v="0"/>
    <n v="0"/>
    <m/>
    <n v="0"/>
  </r>
  <r>
    <x v="6"/>
    <s v="Louisiana Technical College-Shreveport/Bossier Campus"/>
    <n v="160427"/>
    <x v="13"/>
    <s v="sem"/>
    <s v="sem"/>
    <m/>
    <m/>
    <m/>
    <m/>
    <m/>
    <m/>
    <m/>
    <m/>
    <n v="0"/>
    <n v="0"/>
    <m/>
    <n v="0"/>
    <n v="0"/>
    <n v="0"/>
    <m/>
    <n v="0"/>
    <m/>
    <m/>
    <m/>
    <m/>
    <m/>
    <m/>
    <m/>
    <m/>
    <n v="0"/>
    <n v="0"/>
    <m/>
    <n v="0"/>
    <n v="0"/>
    <n v="0"/>
    <m/>
    <n v="0"/>
  </r>
  <r>
    <x v="6"/>
    <s v="Louisiana Technical College-Sidney N. Collier Campus"/>
    <n v="160436"/>
    <x v="13"/>
    <s v="sem"/>
    <s v="sem"/>
    <m/>
    <m/>
    <m/>
    <m/>
    <m/>
    <m/>
    <m/>
    <m/>
    <n v="0"/>
    <n v="0"/>
    <m/>
    <n v="0"/>
    <n v="0"/>
    <n v="0"/>
    <m/>
    <n v="0"/>
    <m/>
    <m/>
    <m/>
    <m/>
    <m/>
    <m/>
    <m/>
    <m/>
    <n v="0"/>
    <n v="0"/>
    <m/>
    <n v="0"/>
    <n v="0"/>
    <n v="0"/>
    <m/>
    <n v="0"/>
  </r>
  <r>
    <x v="6"/>
    <s v="Louisiana Technical College-Slidell Campus"/>
    <n v="160454"/>
    <x v="13"/>
    <s v="sem"/>
    <s v="sem"/>
    <m/>
    <m/>
    <m/>
    <m/>
    <m/>
    <m/>
    <m/>
    <m/>
    <n v="0"/>
    <n v="0"/>
    <m/>
    <n v="0"/>
    <n v="0"/>
    <n v="0"/>
    <m/>
    <n v="0"/>
    <m/>
    <m/>
    <m/>
    <m/>
    <m/>
    <m/>
    <m/>
    <m/>
    <n v="0"/>
    <n v="0"/>
    <m/>
    <n v="0"/>
    <n v="0"/>
    <n v="0"/>
    <m/>
    <n v="0"/>
  </r>
  <r>
    <x v="6"/>
    <s v="Louisiana Technical College-Sullivan Campus"/>
    <n v="160667"/>
    <x v="13"/>
    <s v="sem"/>
    <s v="sem"/>
    <m/>
    <m/>
    <m/>
    <m/>
    <m/>
    <m/>
    <m/>
    <m/>
    <n v="0"/>
    <n v="0"/>
    <m/>
    <n v="0"/>
    <n v="0"/>
    <n v="0"/>
    <m/>
    <n v="0"/>
    <m/>
    <m/>
    <m/>
    <m/>
    <m/>
    <m/>
    <m/>
    <m/>
    <n v="0"/>
    <n v="0"/>
    <m/>
    <n v="0"/>
    <n v="0"/>
    <n v="0"/>
    <m/>
    <n v="0"/>
  </r>
  <r>
    <x v="6"/>
    <s v="Louisiana Technical College-T.H. Harris Campus"/>
    <n v="160676"/>
    <x v="13"/>
    <s v="sem"/>
    <s v="sem"/>
    <m/>
    <m/>
    <m/>
    <m/>
    <m/>
    <m/>
    <m/>
    <m/>
    <n v="0"/>
    <n v="0"/>
    <m/>
    <n v="0"/>
    <n v="0"/>
    <n v="0"/>
    <m/>
    <n v="0"/>
    <m/>
    <m/>
    <m/>
    <m/>
    <m/>
    <m/>
    <m/>
    <m/>
    <n v="0"/>
    <n v="0"/>
    <m/>
    <n v="0"/>
    <n v="0"/>
    <n v="0"/>
    <m/>
    <n v="0"/>
  </r>
  <r>
    <x v="6"/>
    <s v="Louisiana Technical College-Tallulah Campus"/>
    <n v="160685"/>
    <x v="13"/>
    <s v="sem"/>
    <s v="sem"/>
    <m/>
    <m/>
    <m/>
    <m/>
    <m/>
    <m/>
    <m/>
    <m/>
    <n v="0"/>
    <n v="0"/>
    <m/>
    <n v="0"/>
    <n v="0"/>
    <n v="0"/>
    <m/>
    <n v="0"/>
    <m/>
    <m/>
    <m/>
    <m/>
    <m/>
    <m/>
    <m/>
    <m/>
    <n v="0"/>
    <n v="0"/>
    <m/>
    <n v="0"/>
    <n v="0"/>
    <n v="0"/>
    <m/>
    <n v="0"/>
  </r>
  <r>
    <x v="6"/>
    <s v="Louisiana Technical College-Teche Area Campus"/>
    <n v="160694"/>
    <x v="13"/>
    <s v="sem"/>
    <s v="sem"/>
    <m/>
    <m/>
    <m/>
    <m/>
    <m/>
    <m/>
    <m/>
    <m/>
    <n v="0"/>
    <n v="0"/>
    <m/>
    <n v="0"/>
    <n v="0"/>
    <n v="0"/>
    <m/>
    <n v="0"/>
    <m/>
    <m/>
    <m/>
    <m/>
    <m/>
    <m/>
    <m/>
    <m/>
    <n v="0"/>
    <n v="0"/>
    <m/>
    <n v="0"/>
    <n v="0"/>
    <n v="0"/>
    <m/>
    <n v="0"/>
  </r>
  <r>
    <x v="6"/>
    <s v="Louisiana Technical College-West Jefferson Campus"/>
    <n v="159267"/>
    <x v="13"/>
    <s v="sem"/>
    <s v="sem"/>
    <m/>
    <m/>
    <m/>
    <m/>
    <m/>
    <m/>
    <m/>
    <m/>
    <n v="0"/>
    <n v="0"/>
    <m/>
    <n v="0"/>
    <n v="0"/>
    <n v="0"/>
    <m/>
    <n v="0"/>
    <m/>
    <m/>
    <m/>
    <m/>
    <m/>
    <m/>
    <m/>
    <m/>
    <n v="0"/>
    <n v="0"/>
    <m/>
    <n v="0"/>
    <n v="0"/>
    <n v="0"/>
    <m/>
    <n v="0"/>
  </r>
  <r>
    <x v="6"/>
    <s v="Louisiana Technical College-Westside Campus"/>
    <n v="160870"/>
    <x v="13"/>
    <s v="sem"/>
    <s v="sem"/>
    <m/>
    <m/>
    <m/>
    <m/>
    <m/>
    <m/>
    <m/>
    <m/>
    <n v="0"/>
    <n v="0"/>
    <m/>
    <n v="0"/>
    <n v="0"/>
    <n v="0"/>
    <m/>
    <n v="0"/>
    <m/>
    <m/>
    <m/>
    <m/>
    <m/>
    <m/>
    <m/>
    <m/>
    <n v="0"/>
    <n v="0"/>
    <m/>
    <n v="0"/>
    <n v="0"/>
    <n v="0"/>
    <m/>
    <n v="0"/>
  </r>
  <r>
    <x v="6"/>
    <s v="Louisiana Technical College-Young Memorial Campus"/>
    <n v="160913"/>
    <x v="13"/>
    <s v="sem"/>
    <s v="sem"/>
    <m/>
    <m/>
    <m/>
    <m/>
    <m/>
    <m/>
    <m/>
    <m/>
    <n v="0"/>
    <n v="0"/>
    <m/>
    <n v="0"/>
    <n v="0"/>
    <n v="0"/>
    <m/>
    <n v="0"/>
    <m/>
    <m/>
    <m/>
    <m/>
    <m/>
    <m/>
    <m/>
    <m/>
    <n v="0"/>
    <n v="0"/>
    <m/>
    <n v="0"/>
    <n v="0"/>
    <n v="0"/>
    <m/>
    <n v="0"/>
  </r>
  <r>
    <x v="7"/>
    <s v="University of Maryland College Park"/>
    <n v="163286"/>
    <x v="0"/>
    <s v="sem"/>
    <s v="sem"/>
    <n v="11065"/>
    <n v="12191"/>
    <n v="341195"/>
    <n v="355682"/>
    <n v="42267"/>
    <n v="39224"/>
    <n v="363850"/>
    <n v="371990"/>
    <n v="758377"/>
    <n v="0"/>
    <s v="—"/>
    <n v="25279.233333333334"/>
    <n v="779087"/>
    <n v="0"/>
    <s v="—"/>
    <n v="25969.566666666666"/>
    <m/>
    <m/>
    <m/>
    <m/>
    <m/>
    <m/>
    <m/>
    <m/>
    <n v="0"/>
    <n v="0"/>
    <m/>
    <n v="0"/>
    <n v="0"/>
    <n v="0"/>
    <m/>
    <n v="0"/>
  </r>
  <r>
    <x v="7"/>
    <s v="University of Maryland, Baltimore County"/>
    <n v="163268"/>
    <x v="1"/>
    <s v="sem"/>
    <s v="sem"/>
    <n v="4769"/>
    <n v="5131"/>
    <n v="119872"/>
    <n v="119669"/>
    <n v="15352"/>
    <n v="15657"/>
    <n v="128133"/>
    <n v="131840"/>
    <n v="268126"/>
    <n v="0"/>
    <s v="—"/>
    <n v="8937.5333333333328"/>
    <n v="272297"/>
    <n v="0"/>
    <s v="—"/>
    <n v="9076.5666666666675"/>
    <m/>
    <m/>
    <m/>
    <m/>
    <m/>
    <m/>
    <m/>
    <m/>
    <n v="0"/>
    <n v="0"/>
    <m/>
    <n v="0"/>
    <n v="0"/>
    <n v="0"/>
    <m/>
    <n v="0"/>
  </r>
  <r>
    <x v="7"/>
    <s v="Morgan State University"/>
    <n v="163453"/>
    <x v="2"/>
    <s v="sem"/>
    <s v="sem"/>
    <n v="1061"/>
    <n v="729"/>
    <n v="72605"/>
    <n v="76967"/>
    <n v="2386"/>
    <n v="3609"/>
    <n v="81734"/>
    <n v="82732"/>
    <n v="157786"/>
    <n v="0"/>
    <s v="—"/>
    <n v="5259.5333333333338"/>
    <n v="164037"/>
    <n v="0"/>
    <s v="—"/>
    <n v="5467.9"/>
    <m/>
    <m/>
    <m/>
    <m/>
    <m/>
    <m/>
    <m/>
    <m/>
    <n v="0"/>
    <n v="0"/>
    <m/>
    <n v="0"/>
    <n v="0"/>
    <n v="0"/>
    <m/>
    <n v="0"/>
  </r>
  <r>
    <x v="7"/>
    <s v="Towson University "/>
    <n v="164076"/>
    <x v="2"/>
    <s v="sem"/>
    <s v="sem"/>
    <n v="6061"/>
    <n v="6050"/>
    <n v="198975"/>
    <n v="208688"/>
    <n v="19297"/>
    <n v="21338"/>
    <n v="218413"/>
    <n v="236613"/>
    <n v="442746"/>
    <n v="0"/>
    <s v="—"/>
    <n v="14758.2"/>
    <n v="472689"/>
    <n v="0"/>
    <s v="—"/>
    <n v="15756.3"/>
    <m/>
    <m/>
    <m/>
    <m/>
    <m/>
    <m/>
    <m/>
    <m/>
    <n v="0"/>
    <n v="0"/>
    <m/>
    <n v="0"/>
    <n v="0"/>
    <n v="0"/>
    <m/>
    <n v="0"/>
  </r>
  <r>
    <x v="7"/>
    <s v="Bowie State University "/>
    <n v="162007"/>
    <x v="3"/>
    <s v="sem"/>
    <s v="sem"/>
    <n v="945"/>
    <n v="1179"/>
    <n v="50837"/>
    <n v="54115"/>
    <n v="3393"/>
    <n v="3456"/>
    <n v="57685"/>
    <n v="59724"/>
    <n v="112860"/>
    <n v="0"/>
    <s v="—"/>
    <n v="3762"/>
    <n v="118474"/>
    <n v="0"/>
    <s v="—"/>
    <n v="3949.1333333333332"/>
    <m/>
    <m/>
    <m/>
    <m/>
    <m/>
    <m/>
    <m/>
    <m/>
    <n v="0"/>
    <n v="0"/>
    <m/>
    <n v="0"/>
    <n v="0"/>
    <n v="0"/>
    <m/>
    <n v="0"/>
  </r>
  <r>
    <x v="7"/>
    <s v="Coppin State University"/>
    <n v="162283"/>
    <x v="3"/>
    <s v="sem"/>
    <s v="sem"/>
    <n v="925"/>
    <n v="776"/>
    <n v="38397"/>
    <n v="37980"/>
    <n v="2262"/>
    <n v="2468"/>
    <n v="41549"/>
    <n v="43365"/>
    <n v="83133"/>
    <n v="0"/>
    <s v="—"/>
    <n v="2771.1"/>
    <n v="84589"/>
    <n v="0"/>
    <s v="—"/>
    <n v="2819.6333333333332"/>
    <m/>
    <m/>
    <m/>
    <m/>
    <m/>
    <m/>
    <m/>
    <m/>
    <n v="0"/>
    <n v="0"/>
    <m/>
    <n v="0"/>
    <n v="0"/>
    <n v="0"/>
    <m/>
    <n v="0"/>
  </r>
  <r>
    <x v="7"/>
    <s v="Frostburg State University "/>
    <n v="162584"/>
    <x v="3"/>
    <s v="sem"/>
    <s v="sem"/>
    <n v="1848"/>
    <n v="2214"/>
    <n v="55690"/>
    <n v="57137"/>
    <n v="3891"/>
    <n v="3855"/>
    <n v="60803"/>
    <n v="64173"/>
    <n v="122232"/>
    <n v="0"/>
    <s v="—"/>
    <n v="4074.4"/>
    <n v="127379"/>
    <n v="0"/>
    <s v="—"/>
    <n v="4245.9666666666662"/>
    <m/>
    <m/>
    <m/>
    <m/>
    <m/>
    <m/>
    <m/>
    <m/>
    <n v="0"/>
    <n v="0"/>
    <m/>
    <n v="0"/>
    <n v="0"/>
    <n v="0"/>
    <m/>
    <n v="0"/>
  </r>
  <r>
    <x v="7"/>
    <s v="Salisbury University "/>
    <n v="163851"/>
    <x v="3"/>
    <s v="sem"/>
    <s v="sem"/>
    <n v="5174"/>
    <n v="6033"/>
    <n v="92019"/>
    <n v="96080"/>
    <n v="5436"/>
    <n v="5909"/>
    <n v="98776"/>
    <n v="105255"/>
    <n v="201405"/>
    <n v="0"/>
    <s v="—"/>
    <n v="6713.5"/>
    <n v="213277"/>
    <n v="0"/>
    <s v="—"/>
    <n v="7109.2333333333336"/>
    <m/>
    <m/>
    <m/>
    <m/>
    <m/>
    <m/>
    <m/>
    <m/>
    <n v="0"/>
    <n v="0"/>
    <m/>
    <n v="0"/>
    <n v="0"/>
    <n v="0"/>
    <m/>
    <n v="0"/>
  </r>
  <r>
    <x v="7"/>
    <s v="University of Baltimore"/>
    <n v="161873"/>
    <x v="3"/>
    <s v="sem"/>
    <s v="sem"/>
    <n v="0"/>
    <n v="0"/>
    <n v="20111"/>
    <n v="23227"/>
    <n v="3163"/>
    <n v="3913"/>
    <n v="24050"/>
    <n v="27459"/>
    <n v="47324"/>
    <n v="0"/>
    <s v="—"/>
    <n v="1577.4666666666667"/>
    <n v="54599"/>
    <n v="0"/>
    <s v="—"/>
    <n v="1819.9666666666667"/>
    <m/>
    <m/>
    <m/>
    <m/>
    <m/>
    <m/>
    <m/>
    <m/>
    <n v="0"/>
    <n v="0"/>
    <m/>
    <n v="0"/>
    <n v="0"/>
    <n v="0"/>
    <m/>
    <n v="0"/>
  </r>
  <r>
    <x v="7"/>
    <s v="University of Maryland Eastern Shore "/>
    <n v="163338"/>
    <x v="3"/>
    <s v="sem"/>
    <s v="sem"/>
    <n v="1176"/>
    <n v="972"/>
    <n v="46948"/>
    <n v="45460"/>
    <n v="2434"/>
    <n v="2659"/>
    <n v="51002"/>
    <n v="56323"/>
    <n v="101560"/>
    <n v="0"/>
    <s v="—"/>
    <n v="3385.3333333333335"/>
    <n v="105414"/>
    <n v="0"/>
    <s v="—"/>
    <n v="3513.8"/>
    <m/>
    <m/>
    <m/>
    <m/>
    <m/>
    <m/>
    <m/>
    <m/>
    <n v="0"/>
    <n v="0"/>
    <m/>
    <n v="0"/>
    <n v="0"/>
    <n v="0"/>
    <m/>
    <n v="0"/>
  </r>
  <r>
    <x v="7"/>
    <s v="Saint Mary's College of Maryland"/>
    <n v="163912"/>
    <x v="5"/>
    <s v="sem"/>
    <s v="sem"/>
    <n v="0"/>
    <n v="0"/>
    <n v="28880"/>
    <n v="29724.55"/>
    <n v="1094"/>
    <n v="1343"/>
    <n v="30327"/>
    <n v="30866"/>
    <n v="60301"/>
    <n v="0"/>
    <s v="—"/>
    <n v="2010.0333333333333"/>
    <n v="61933.55"/>
    <n v="0"/>
    <s v="—"/>
    <n v="2064.4516666666668"/>
    <m/>
    <m/>
    <m/>
    <m/>
    <m/>
    <m/>
    <m/>
    <m/>
    <n v="0"/>
    <n v="0"/>
    <m/>
    <n v="0"/>
    <n v="0"/>
    <n v="0"/>
    <m/>
    <n v="0"/>
  </r>
  <r>
    <x v="7"/>
    <s v="Anne Arundel Community College "/>
    <n v="161767"/>
    <x v="6"/>
    <s v="sem"/>
    <s v="sem"/>
    <n v="2337"/>
    <n v="2274"/>
    <n v="110542"/>
    <n v="114635"/>
    <n v="27000"/>
    <n v="27894"/>
    <n v="127590"/>
    <n v="131297"/>
    <n v="267469"/>
    <n v="0"/>
    <s v="—"/>
    <n v="8915.6333333333332"/>
    <n v="276100"/>
    <n v="0"/>
    <s v="—"/>
    <n v="9203.3333333333339"/>
    <m/>
    <m/>
    <m/>
    <m/>
    <m/>
    <m/>
    <m/>
    <m/>
    <n v="0"/>
    <n v="0"/>
    <m/>
    <n v="0"/>
    <n v="0"/>
    <n v="0"/>
    <m/>
    <n v="0"/>
  </r>
  <r>
    <x v="7"/>
    <s v="Community College of Baltimore County (all campuses)"/>
    <n v="434672"/>
    <x v="6"/>
    <s v="sem"/>
    <s v="sem"/>
    <n v="6330"/>
    <n v="7204.5"/>
    <n v="151955"/>
    <n v="151390.5"/>
    <n v="28856"/>
    <n v="37577"/>
    <n v="160050"/>
    <n v="174835.5"/>
    <n v="347191"/>
    <n v="0"/>
    <s v="—"/>
    <n v="11573.033333333333"/>
    <n v="371007.5"/>
    <n v="0"/>
    <s v="—"/>
    <n v="12366.916666666666"/>
    <m/>
    <m/>
    <m/>
    <m/>
    <m/>
    <m/>
    <m/>
    <m/>
    <n v="0"/>
    <n v="0"/>
    <m/>
    <n v="0"/>
    <n v="0"/>
    <n v="0"/>
    <m/>
    <n v="0"/>
  </r>
  <r>
    <x v="7"/>
    <s v="Montgomery College (all campuses)"/>
    <n v="163426"/>
    <x v="6"/>
    <s v="sem"/>
    <s v="sem"/>
    <n v="0"/>
    <n v="2379"/>
    <n v="166738"/>
    <n v="233700"/>
    <n v="48120"/>
    <n v="78456"/>
    <n v="184683"/>
    <n v="255761"/>
    <n v="399541"/>
    <n v="0"/>
    <s v="—"/>
    <n v="13318.033333333333"/>
    <n v="570296"/>
    <n v="0"/>
    <s v="—"/>
    <n v="19009.866666666665"/>
    <m/>
    <m/>
    <m/>
    <m/>
    <m/>
    <m/>
    <m/>
    <m/>
    <n v="0"/>
    <n v="0"/>
    <m/>
    <n v="0"/>
    <n v="0"/>
    <n v="0"/>
    <m/>
    <n v="0"/>
  </r>
  <r>
    <x v="7"/>
    <s v="Prince George's Community College "/>
    <n v="163657"/>
    <x v="6"/>
    <s v="sem"/>
    <s v="sem"/>
    <n v="0"/>
    <n v="0"/>
    <n v="90527"/>
    <n v="90676"/>
    <n v="24754"/>
    <n v="24846"/>
    <n v="95192"/>
    <n v="95960"/>
    <n v="210473"/>
    <n v="0"/>
    <s v="—"/>
    <n v="7015.7666666666664"/>
    <n v="211482"/>
    <n v="0"/>
    <s v="—"/>
    <n v="7049.4"/>
    <m/>
    <m/>
    <m/>
    <m/>
    <m/>
    <m/>
    <m/>
    <m/>
    <n v="0"/>
    <n v="0"/>
    <m/>
    <n v="0"/>
    <n v="0"/>
    <n v="0"/>
    <m/>
    <n v="0"/>
  </r>
  <r>
    <x v="7"/>
    <s v="Allegany College of Maryland"/>
    <n v="161688"/>
    <x v="7"/>
    <s v="sem"/>
    <s v="sem"/>
    <n v="0"/>
    <n v="0"/>
    <n v="31628"/>
    <n v="32391"/>
    <n v="3965"/>
    <n v="3957"/>
    <n v="36148"/>
    <n v="37755"/>
    <n v="71741"/>
    <n v="0"/>
    <s v="—"/>
    <n v="2391.3666666666668"/>
    <n v="74103"/>
    <n v="0"/>
    <s v="—"/>
    <n v="2470.1"/>
    <m/>
    <m/>
    <m/>
    <m/>
    <m/>
    <m/>
    <m/>
    <m/>
    <n v="0"/>
    <n v="0"/>
    <m/>
    <n v="0"/>
    <n v="0"/>
    <n v="0"/>
    <m/>
    <n v="0"/>
  </r>
  <r>
    <x v="7"/>
    <s v="Baltimore City Community College"/>
    <n v="161864"/>
    <x v="7"/>
    <s v="sem"/>
    <s v="sem"/>
    <n v="1261"/>
    <n v="1969"/>
    <n v="63468"/>
    <n v="63348"/>
    <n v="11604"/>
    <n v="13124"/>
    <n v="63452"/>
    <n v="67594"/>
    <n v="139785"/>
    <n v="0"/>
    <s v="—"/>
    <n v="4659.5"/>
    <n v="146035"/>
    <n v="0"/>
    <s v="—"/>
    <n v="4867.833333333333"/>
    <m/>
    <m/>
    <m/>
    <m/>
    <m/>
    <m/>
    <m/>
    <m/>
    <n v="0"/>
    <n v="0"/>
    <m/>
    <n v="0"/>
    <n v="0"/>
    <n v="0"/>
    <m/>
    <n v="0"/>
  </r>
  <r>
    <x v="7"/>
    <s v="College of Southern Maryland"/>
    <n v="162122"/>
    <x v="7"/>
    <s v="sem"/>
    <s v="sem"/>
    <n v="939"/>
    <n v="966"/>
    <n v="53685"/>
    <n v="58370"/>
    <n v="10800"/>
    <n v="11624"/>
    <n v="66733"/>
    <n v="71463"/>
    <n v="132157"/>
    <n v="0"/>
    <s v="—"/>
    <n v="4405.2333333333336"/>
    <n v="142423"/>
    <n v="0"/>
    <s v="—"/>
    <n v="4747.4333333333334"/>
    <m/>
    <m/>
    <m/>
    <m/>
    <m/>
    <m/>
    <m/>
    <m/>
    <n v="0"/>
    <n v="0"/>
    <m/>
    <n v="0"/>
    <n v="0"/>
    <n v="0"/>
    <m/>
    <n v="0"/>
  </r>
  <r>
    <x v="7"/>
    <s v="Frederick Community College "/>
    <n v="162557"/>
    <x v="7"/>
    <s v="sem"/>
    <s v="sem"/>
    <n v="1856"/>
    <n v="1873"/>
    <n v="39317"/>
    <n v="43091"/>
    <n v="11977"/>
    <n v="9320"/>
    <n v="40629"/>
    <n v="43334"/>
    <n v="93779"/>
    <n v="0"/>
    <s v="—"/>
    <n v="3125.9666666666667"/>
    <n v="97618"/>
    <n v="0"/>
    <s v="—"/>
    <n v="3253.9333333333334"/>
    <m/>
    <m/>
    <m/>
    <m/>
    <m/>
    <m/>
    <m/>
    <m/>
    <n v="0"/>
    <n v="0"/>
    <m/>
    <n v="0"/>
    <n v="0"/>
    <n v="0"/>
    <m/>
    <n v="0"/>
  </r>
  <r>
    <x v="7"/>
    <s v="Hagerstown Community College "/>
    <n v="162690"/>
    <x v="7"/>
    <s v="sem"/>
    <s v="sem"/>
    <n v="0"/>
    <n v="0"/>
    <n v="29540"/>
    <n v="31106"/>
    <n v="7282"/>
    <n v="8077"/>
    <n v="33114"/>
    <n v="35963"/>
    <n v="69936"/>
    <n v="0"/>
    <s v="—"/>
    <n v="2331.1999999999998"/>
    <n v="75146"/>
    <n v="0"/>
    <s v="—"/>
    <n v="2504.8666666666668"/>
    <m/>
    <m/>
    <m/>
    <m/>
    <m/>
    <m/>
    <m/>
    <m/>
    <n v="0"/>
    <n v="0"/>
    <m/>
    <n v="0"/>
    <n v="0"/>
    <n v="0"/>
    <m/>
    <n v="0"/>
  </r>
  <r>
    <x v="7"/>
    <s v="Harford Community College "/>
    <n v="162706"/>
    <x v="7"/>
    <s v="sem"/>
    <s v="sem"/>
    <n v="0"/>
    <n v="0"/>
    <n v="44698"/>
    <n v="47134"/>
    <n v="8669"/>
    <n v="9359"/>
    <n v="53393"/>
    <n v="61178"/>
    <n v="106760"/>
    <n v="0"/>
    <s v="—"/>
    <n v="3558.6666666666665"/>
    <n v="117671"/>
    <n v="0"/>
    <s v="—"/>
    <n v="3922.3666666666668"/>
    <m/>
    <m/>
    <m/>
    <m/>
    <m/>
    <m/>
    <m/>
    <m/>
    <n v="0"/>
    <n v="0"/>
    <m/>
    <n v="0"/>
    <n v="0"/>
    <n v="0"/>
    <m/>
    <n v="0"/>
  </r>
  <r>
    <x v="7"/>
    <s v="Howard Community College "/>
    <n v="162779"/>
    <x v="7"/>
    <s v="sem"/>
    <s v="sem"/>
    <n v="3995"/>
    <n v="4048"/>
    <n v="55579"/>
    <n v="58216"/>
    <n v="12882"/>
    <n v="13313"/>
    <n v="64597"/>
    <n v="68759"/>
    <n v="137053"/>
    <n v="0"/>
    <s v="—"/>
    <n v="4568.4333333333334"/>
    <n v="144336"/>
    <n v="0"/>
    <s v="—"/>
    <n v="4811.2"/>
    <m/>
    <m/>
    <m/>
    <m/>
    <m/>
    <m/>
    <m/>
    <m/>
    <n v="0"/>
    <n v="0"/>
    <m/>
    <n v="0"/>
    <n v="0"/>
    <n v="0"/>
    <m/>
    <n v="0"/>
  </r>
  <r>
    <x v="7"/>
    <s v="Carroll Community College"/>
    <n v="405872"/>
    <x v="8"/>
    <s v="sem"/>
    <s v="sem"/>
    <n v="980"/>
    <n v="1486"/>
    <n v="24615"/>
    <n v="29581"/>
    <n v="4538"/>
    <n v="5659"/>
    <n v="27202"/>
    <n v="32916"/>
    <n v="57335"/>
    <n v="0"/>
    <s v="—"/>
    <n v="1911.1666666666667"/>
    <n v="69642"/>
    <n v="0"/>
    <s v="—"/>
    <n v="2321.4"/>
    <m/>
    <m/>
    <m/>
    <m/>
    <m/>
    <m/>
    <m/>
    <m/>
    <n v="0"/>
    <n v="0"/>
    <m/>
    <n v="0"/>
    <n v="0"/>
    <n v="0"/>
    <m/>
    <n v="0"/>
  </r>
  <r>
    <x v="7"/>
    <s v="Cecil Community College "/>
    <n v="162104"/>
    <x v="8"/>
    <s v="sem"/>
    <s v="sem"/>
    <n v="0"/>
    <n v="0"/>
    <n v="16385"/>
    <n v="17758"/>
    <n v="3312"/>
    <n v="3332"/>
    <n v="19585"/>
    <n v="21604"/>
    <n v="39282"/>
    <n v="0"/>
    <s v="—"/>
    <n v="1309.4000000000001"/>
    <n v="42694"/>
    <n v="0"/>
    <s v="—"/>
    <n v="1423.1333333333334"/>
    <m/>
    <m/>
    <m/>
    <m/>
    <m/>
    <m/>
    <m/>
    <m/>
    <n v="0"/>
    <n v="0"/>
    <m/>
    <n v="0"/>
    <n v="0"/>
    <n v="0"/>
    <m/>
    <n v="0"/>
  </r>
  <r>
    <x v="7"/>
    <s v="Chesapeake College "/>
    <n v="162168"/>
    <x v="8"/>
    <s v="sem"/>
    <s v="sem"/>
    <n v="187"/>
    <n v="142"/>
    <n v="18901"/>
    <n v="19939"/>
    <n v="2310"/>
    <n v="2553"/>
    <n v="21787"/>
    <n v="22567"/>
    <n v="43185"/>
    <n v="0"/>
    <s v="—"/>
    <n v="1439.5"/>
    <n v="45201"/>
    <n v="0"/>
    <s v="—"/>
    <n v="1506.7"/>
    <m/>
    <m/>
    <m/>
    <m/>
    <m/>
    <m/>
    <m/>
    <m/>
    <n v="0"/>
    <n v="0"/>
    <m/>
    <n v="0"/>
    <n v="0"/>
    <n v="0"/>
    <m/>
    <n v="0"/>
  </r>
  <r>
    <x v="7"/>
    <s v="Garrett College "/>
    <n v="162609"/>
    <x v="8"/>
    <s v="sem"/>
    <s v="sem"/>
    <n v="225"/>
    <n v="144"/>
    <n v="7974"/>
    <n v="8480.75"/>
    <n v="629"/>
    <n v="567"/>
    <n v="9105"/>
    <n v="9561.75"/>
    <n v="17933"/>
    <n v="0"/>
    <s v="—"/>
    <n v="597.76666666666665"/>
    <n v="18753.5"/>
    <n v="0"/>
    <s v="—"/>
    <n v="625.11666666666667"/>
    <m/>
    <m/>
    <m/>
    <m/>
    <m/>
    <m/>
    <m/>
    <m/>
    <n v="0"/>
    <n v="0"/>
    <m/>
    <n v="0"/>
    <n v="0"/>
    <n v="0"/>
    <m/>
    <n v="0"/>
  </r>
  <r>
    <x v="7"/>
    <s v="Wor-Wic Community College "/>
    <n v="164313"/>
    <x v="8"/>
    <s v="sem"/>
    <s v="sem"/>
    <n v="0"/>
    <n v="0"/>
    <n v="23765"/>
    <n v="26286"/>
    <n v="6774"/>
    <n v="7405"/>
    <n v="28931"/>
    <n v="32298"/>
    <n v="59470"/>
    <n v="0"/>
    <s v="—"/>
    <n v="1982.3333333333333"/>
    <n v="65989"/>
    <n v="0"/>
    <s v="—"/>
    <n v="2199.6333333333332"/>
    <m/>
    <m/>
    <m/>
    <m/>
    <m/>
    <m/>
    <m/>
    <m/>
    <n v="0"/>
    <n v="0"/>
    <m/>
    <n v="0"/>
    <n v="0"/>
    <n v="0"/>
    <m/>
    <n v="0"/>
  </r>
  <r>
    <x v="8"/>
    <s v="Mississippi State University"/>
    <n v="176080"/>
    <x v="0"/>
    <s v="sem"/>
    <s v="sem"/>
    <m/>
    <m/>
    <n v="151180"/>
    <n v="158091"/>
    <n v="37241"/>
    <n v="35135"/>
    <n v="170980"/>
    <n v="182510"/>
    <n v="359401"/>
    <n v="0"/>
    <s v="—"/>
    <n v="11980.033333333333"/>
    <n v="375736"/>
    <n v="0"/>
    <s v="—"/>
    <n v="12524.533333333333"/>
    <m/>
    <m/>
    <m/>
    <m/>
    <m/>
    <m/>
    <m/>
    <m/>
    <n v="0"/>
    <n v="0"/>
    <m/>
    <n v="0"/>
    <n v="0"/>
    <n v="0"/>
    <m/>
    <n v="0"/>
  </r>
  <r>
    <x v="8"/>
    <s v="University of Southern Mississippi"/>
    <n v="176372"/>
    <x v="0"/>
    <s v="sem"/>
    <s v="sem"/>
    <m/>
    <m/>
    <n v="136026"/>
    <n v="134464"/>
    <n v="33951"/>
    <n v="33946.5"/>
    <n v="148165"/>
    <n v="152048"/>
    <n v="318142"/>
    <n v="0"/>
    <s v="—"/>
    <n v="10604.733333333334"/>
    <n v="320458.5"/>
    <n v="0"/>
    <s v="—"/>
    <n v="10681.95"/>
    <m/>
    <m/>
    <m/>
    <m/>
    <m/>
    <m/>
    <m/>
    <m/>
    <n v="0"/>
    <n v="0"/>
    <m/>
    <n v="0"/>
    <n v="0"/>
    <n v="0"/>
    <m/>
    <n v="0"/>
  </r>
  <r>
    <x v="8"/>
    <s v="Jackson State University "/>
    <n v="175856"/>
    <x v="1"/>
    <s v="sem"/>
    <s v="sem"/>
    <m/>
    <m/>
    <n v="73492"/>
    <n v="71703.5"/>
    <n v="14864"/>
    <n v="11963"/>
    <n v="78858"/>
    <n v="72762.5"/>
    <n v="167214"/>
    <n v="0"/>
    <s v="—"/>
    <n v="5573.8"/>
    <n v="156429"/>
    <n v="0"/>
    <s v="—"/>
    <n v="5214.3"/>
    <m/>
    <m/>
    <m/>
    <m/>
    <m/>
    <m/>
    <m/>
    <m/>
    <n v="0"/>
    <n v="0"/>
    <m/>
    <n v="0"/>
    <n v="0"/>
    <n v="0"/>
    <m/>
    <n v="0"/>
  </r>
  <r>
    <x v="8"/>
    <s v="University of Mississippi"/>
    <n v="176017"/>
    <x v="1"/>
    <s v="sem"/>
    <s v="sem"/>
    <m/>
    <m/>
    <n v="161279"/>
    <n v="162147"/>
    <n v="42621"/>
    <n v="41185"/>
    <n v="163899"/>
    <n v="165340"/>
    <n v="367799"/>
    <n v="0"/>
    <s v="—"/>
    <n v="12259.966666666667"/>
    <n v="368672"/>
    <n v="0"/>
    <s v="—"/>
    <n v="12289.066666666668"/>
    <m/>
    <m/>
    <m/>
    <m/>
    <m/>
    <m/>
    <m/>
    <m/>
    <n v="0"/>
    <n v="0"/>
    <m/>
    <n v="0"/>
    <n v="0"/>
    <n v="0"/>
    <m/>
    <n v="0"/>
  </r>
  <r>
    <x v="8"/>
    <s v="Alcorn State University"/>
    <n v="175342"/>
    <x v="3"/>
    <s v="sem"/>
    <s v="sem"/>
    <m/>
    <m/>
    <n v="36825"/>
    <n v="34331"/>
    <n v="8772"/>
    <n v="8043"/>
    <n v="37824"/>
    <n v="35545"/>
    <n v="83421"/>
    <n v="0"/>
    <s v="—"/>
    <n v="2780.7"/>
    <n v="77919"/>
    <n v="0"/>
    <s v="—"/>
    <n v="2597.3000000000002"/>
    <m/>
    <m/>
    <m/>
    <m/>
    <m/>
    <m/>
    <m/>
    <m/>
    <n v="0"/>
    <n v="0"/>
    <m/>
    <n v="0"/>
    <n v="0"/>
    <n v="0"/>
    <m/>
    <n v="0"/>
  </r>
  <r>
    <x v="8"/>
    <s v="Delta State University"/>
    <n v="175616"/>
    <x v="3"/>
    <s v="sem"/>
    <s v="sem"/>
    <m/>
    <m/>
    <n v="38665"/>
    <n v="36647"/>
    <n v="6665"/>
    <n v="5842"/>
    <n v="40304"/>
    <n v="39349"/>
    <n v="85634"/>
    <n v="0"/>
    <s v="—"/>
    <n v="2854.4666666666667"/>
    <n v="81838"/>
    <n v="0"/>
    <s v="—"/>
    <n v="2727.9333333333334"/>
    <m/>
    <m/>
    <m/>
    <m/>
    <m/>
    <m/>
    <m/>
    <m/>
    <n v="0"/>
    <n v="0"/>
    <m/>
    <n v="0"/>
    <n v="0"/>
    <n v="0"/>
    <m/>
    <n v="0"/>
  </r>
  <r>
    <x v="8"/>
    <s v="Mississippi University for Women"/>
    <n v="176035"/>
    <x v="4"/>
    <s v="sem"/>
    <s v="sem"/>
    <m/>
    <m/>
    <n v="25682"/>
    <n v="24319"/>
    <n v="5368"/>
    <n v="5075"/>
    <n v="26129"/>
    <n v="26112"/>
    <n v="57179"/>
    <n v="0"/>
    <s v="—"/>
    <n v="1905.9666666666667"/>
    <n v="55506"/>
    <n v="0"/>
    <s v="—"/>
    <n v="1850.2"/>
    <m/>
    <m/>
    <m/>
    <m/>
    <m/>
    <m/>
    <m/>
    <m/>
    <n v="0"/>
    <n v="0"/>
    <m/>
    <n v="0"/>
    <n v="0"/>
    <n v="0"/>
    <m/>
    <n v="0"/>
  </r>
  <r>
    <x v="8"/>
    <s v="Mississippi Valley State University"/>
    <n v="176044"/>
    <x v="4"/>
    <s v="sem"/>
    <s v="sem"/>
    <m/>
    <m/>
    <n v="32867"/>
    <n v="31044"/>
    <n v="8833"/>
    <n v="6790"/>
    <n v="34294"/>
    <n v="32580"/>
    <n v="75994"/>
    <n v="0"/>
    <s v="—"/>
    <n v="2533.1333333333332"/>
    <n v="70414"/>
    <n v="0"/>
    <s v="—"/>
    <n v="2347.1333333333332"/>
    <m/>
    <m/>
    <m/>
    <m/>
    <m/>
    <m/>
    <m/>
    <m/>
    <n v="0"/>
    <n v="0"/>
    <m/>
    <n v="0"/>
    <n v="0"/>
    <n v="0"/>
    <m/>
    <n v="0"/>
  </r>
  <r>
    <x v="8"/>
    <s v="Hinds Community College "/>
    <n v="175786"/>
    <x v="6"/>
    <s v="sem"/>
    <s v="sem"/>
    <m/>
    <m/>
    <n v="106638"/>
    <n v="106140"/>
    <n v="21543"/>
    <n v="20865"/>
    <n v="120442"/>
    <n v="125632"/>
    <n v="248623"/>
    <n v="0"/>
    <s v="—"/>
    <n v="8287.4333333333325"/>
    <n v="252637"/>
    <n v="252637"/>
    <n v="1757"/>
    <n v="8421.2333333333336"/>
    <m/>
    <m/>
    <m/>
    <m/>
    <m/>
    <m/>
    <m/>
    <m/>
    <n v="0"/>
    <n v="0"/>
    <m/>
    <n v="0"/>
    <n v="0"/>
    <n v="0"/>
    <m/>
    <n v="0"/>
  </r>
  <r>
    <x v="8"/>
    <s v="Mississippi Gulf Coast Community College "/>
    <n v="176071"/>
    <x v="6"/>
    <s v="sem"/>
    <s v="sem"/>
    <m/>
    <m/>
    <n v="87215"/>
    <n v="91265"/>
    <n v="21688"/>
    <n v="23590"/>
    <n v="98842"/>
    <n v="102962"/>
    <n v="207745"/>
    <n v="0"/>
    <s v="—"/>
    <n v="6924.833333333333"/>
    <n v="217817"/>
    <n v="217817"/>
    <n v="2179"/>
    <n v="7260.5666666666666"/>
    <m/>
    <m/>
    <m/>
    <m/>
    <m/>
    <m/>
    <m/>
    <m/>
    <n v="0"/>
    <n v="0"/>
    <m/>
    <n v="0"/>
    <n v="0"/>
    <n v="0"/>
    <m/>
    <n v="0"/>
  </r>
  <r>
    <x v="8"/>
    <s v="Northwest Mississippi Community College "/>
    <n v="176178"/>
    <x v="6"/>
    <s v="sem"/>
    <s v="sem"/>
    <m/>
    <m/>
    <n v="67560"/>
    <n v="72133"/>
    <n v="12648"/>
    <n v="14665"/>
    <n v="77809"/>
    <n v="83032"/>
    <n v="158017"/>
    <n v="0"/>
    <s v="—"/>
    <n v="5267.2333333333336"/>
    <n v="169830"/>
    <n v="169830"/>
    <n v="1179"/>
    <n v="5661"/>
    <m/>
    <m/>
    <m/>
    <m/>
    <m/>
    <m/>
    <m/>
    <m/>
    <n v="0"/>
    <n v="0"/>
    <m/>
    <n v="0"/>
    <n v="0"/>
    <n v="0"/>
    <m/>
    <n v="0"/>
  </r>
  <r>
    <x v="8"/>
    <s v="Copiah-Lincoln Community College "/>
    <n v="175573"/>
    <x v="7"/>
    <s v="sem"/>
    <s v="sem"/>
    <m/>
    <m/>
    <n v="37674"/>
    <n v="38010"/>
    <n v="6052"/>
    <n v="6345"/>
    <n v="41675"/>
    <n v="41550"/>
    <n v="85401"/>
    <n v="0"/>
    <s v="—"/>
    <n v="2846.7"/>
    <n v="85905"/>
    <n v="85905"/>
    <n v="1601"/>
    <n v="2863.5"/>
    <m/>
    <m/>
    <m/>
    <m/>
    <m/>
    <m/>
    <m/>
    <m/>
    <n v="0"/>
    <n v="0"/>
    <m/>
    <n v="0"/>
    <n v="0"/>
    <n v="0"/>
    <m/>
    <n v="0"/>
  </r>
  <r>
    <x v="8"/>
    <s v="East Central Community College "/>
    <n v="175643"/>
    <x v="7"/>
    <s v="sem"/>
    <s v="sem"/>
    <m/>
    <m/>
    <n v="25675"/>
    <n v="26910"/>
    <n v="4889"/>
    <n v="5223"/>
    <n v="29308"/>
    <n v="30342"/>
    <n v="59872"/>
    <n v="0"/>
    <s v="—"/>
    <n v="1995.7333333333333"/>
    <n v="62475"/>
    <n v="62475"/>
    <n v="374"/>
    <n v="2082.5"/>
    <m/>
    <m/>
    <m/>
    <m/>
    <m/>
    <m/>
    <m/>
    <m/>
    <n v="0"/>
    <n v="0"/>
    <m/>
    <n v="0"/>
    <n v="0"/>
    <n v="0"/>
    <m/>
    <n v="0"/>
  </r>
  <r>
    <x v="8"/>
    <s v="East Mississippi Community College "/>
    <n v="175652"/>
    <x v="7"/>
    <s v="sem"/>
    <s v="sem"/>
    <m/>
    <m/>
    <n v="41466"/>
    <n v="42674"/>
    <n v="11963"/>
    <n v="11498"/>
    <n v="45437"/>
    <n v="48077"/>
    <n v="98866"/>
    <n v="0"/>
    <s v="—"/>
    <n v="3295.5333333333333"/>
    <n v="102249"/>
    <n v="102249"/>
    <n v="20"/>
    <n v="3408.3"/>
    <m/>
    <m/>
    <m/>
    <m/>
    <m/>
    <m/>
    <m/>
    <m/>
    <n v="0"/>
    <n v="0"/>
    <m/>
    <n v="0"/>
    <n v="0"/>
    <n v="0"/>
    <m/>
    <n v="0"/>
  </r>
  <r>
    <x v="8"/>
    <s v="Holmes Community College "/>
    <n v="175810"/>
    <x v="7"/>
    <s v="sem"/>
    <s v="sem"/>
    <m/>
    <m/>
    <n v="54373"/>
    <n v="51538"/>
    <n v="15274"/>
    <n v="14496"/>
    <n v="59848"/>
    <n v="59537"/>
    <n v="129495"/>
    <n v="0"/>
    <s v="—"/>
    <n v="4316.5"/>
    <n v="125571"/>
    <n v="125571"/>
    <n v="870"/>
    <n v="4185.7"/>
    <m/>
    <m/>
    <m/>
    <m/>
    <m/>
    <m/>
    <m/>
    <m/>
    <n v="0"/>
    <n v="0"/>
    <m/>
    <n v="0"/>
    <n v="0"/>
    <n v="0"/>
    <m/>
    <n v="0"/>
  </r>
  <r>
    <x v="8"/>
    <s v="Itawamba Community College "/>
    <n v="175829"/>
    <x v="7"/>
    <s v="sem"/>
    <s v="sem"/>
    <m/>
    <m/>
    <n v="60954"/>
    <n v="71257"/>
    <n v="12290"/>
    <n v="14468"/>
    <n v="71337"/>
    <n v="85619"/>
    <n v="144581"/>
    <n v="0"/>
    <s v="—"/>
    <n v="4819.3666666666668"/>
    <n v="171344"/>
    <n v="171344"/>
    <n v="701"/>
    <n v="5711.4666666666662"/>
    <m/>
    <m/>
    <m/>
    <m/>
    <m/>
    <m/>
    <m/>
    <m/>
    <n v="0"/>
    <n v="0"/>
    <m/>
    <n v="0"/>
    <n v="0"/>
    <n v="0"/>
    <m/>
    <n v="0"/>
  </r>
  <r>
    <x v="8"/>
    <s v="Jones County Junior College "/>
    <n v="175883"/>
    <x v="7"/>
    <s v="sem"/>
    <s v="sem"/>
    <m/>
    <m/>
    <n v="50744"/>
    <n v="51229"/>
    <n v="12504"/>
    <n v="13668"/>
    <n v="58895"/>
    <n v="61015"/>
    <n v="122143"/>
    <n v="0"/>
    <s v="—"/>
    <n v="4071.4333333333334"/>
    <n v="125912"/>
    <n v="125912"/>
    <n v="1251"/>
    <n v="4197.0666666666666"/>
    <m/>
    <m/>
    <m/>
    <m/>
    <m/>
    <m/>
    <m/>
    <m/>
    <n v="0"/>
    <n v="0"/>
    <m/>
    <n v="0"/>
    <n v="0"/>
    <n v="0"/>
    <m/>
    <n v="0"/>
  </r>
  <r>
    <x v="8"/>
    <s v="Meridian Community College "/>
    <n v="175935"/>
    <x v="7"/>
    <s v="sem"/>
    <s v="sem"/>
    <m/>
    <m/>
    <n v="37664"/>
    <n v="37498"/>
    <n v="6313"/>
    <n v="6899"/>
    <n v="42495"/>
    <n v="44458"/>
    <n v="86472"/>
    <n v="0"/>
    <s v="—"/>
    <n v="2882.4"/>
    <n v="88855"/>
    <n v="88855"/>
    <n v="528"/>
    <n v="2961.8333333333335"/>
    <m/>
    <m/>
    <m/>
    <m/>
    <m/>
    <m/>
    <m/>
    <m/>
    <n v="0"/>
    <n v="0"/>
    <m/>
    <n v="0"/>
    <n v="0"/>
    <n v="0"/>
    <m/>
    <n v="0"/>
  </r>
  <r>
    <x v="8"/>
    <s v="Mississippi Delta Community College "/>
    <n v="176008"/>
    <x v="7"/>
    <s v="sem"/>
    <s v="sem"/>
    <m/>
    <m/>
    <n v="31934"/>
    <n v="32874"/>
    <n v="4528"/>
    <n v="4795"/>
    <n v="35892"/>
    <n v="37704"/>
    <n v="72354"/>
    <n v="0"/>
    <s v="—"/>
    <n v="2411.8000000000002"/>
    <n v="75373"/>
    <n v="75373"/>
    <n v="1207"/>
    <n v="2512.4333333333334"/>
    <m/>
    <m/>
    <m/>
    <m/>
    <m/>
    <m/>
    <m/>
    <m/>
    <n v="0"/>
    <n v="0"/>
    <m/>
    <n v="0"/>
    <n v="0"/>
    <n v="0"/>
    <m/>
    <n v="0"/>
  </r>
  <r>
    <x v="8"/>
    <s v="Northeast Mississippi Community College "/>
    <n v="176169"/>
    <x v="7"/>
    <s v="sem"/>
    <s v="sem"/>
    <m/>
    <m/>
    <n v="38855"/>
    <n v="37464"/>
    <n v="5399"/>
    <n v="4479"/>
    <n v="44976"/>
    <n v="42175"/>
    <n v="89230"/>
    <n v="0"/>
    <s v="—"/>
    <n v="2974.3333333333335"/>
    <n v="84118"/>
    <n v="84118"/>
    <n v="389"/>
    <n v="2803.9333333333334"/>
    <m/>
    <m/>
    <m/>
    <m/>
    <m/>
    <m/>
    <m/>
    <m/>
    <n v="0"/>
    <n v="0"/>
    <m/>
    <n v="0"/>
    <n v="0"/>
    <n v="0"/>
    <m/>
    <n v="0"/>
  </r>
  <r>
    <x v="8"/>
    <s v="Pearl River Community College "/>
    <n v="176239"/>
    <x v="7"/>
    <s v="sem"/>
    <s v="sem"/>
    <m/>
    <m/>
    <n v="42116"/>
    <n v="42287"/>
    <n v="8841"/>
    <n v="9063"/>
    <n v="45027"/>
    <n v="51016"/>
    <n v="95984"/>
    <n v="0"/>
    <s v="—"/>
    <n v="3199.4666666666667"/>
    <n v="102366"/>
    <n v="102366"/>
    <n v="895"/>
    <n v="3412.2"/>
    <m/>
    <m/>
    <m/>
    <m/>
    <m/>
    <m/>
    <m/>
    <m/>
    <n v="0"/>
    <n v="0"/>
    <m/>
    <n v="0"/>
    <n v="0"/>
    <n v="0"/>
    <m/>
    <n v="0"/>
  </r>
  <r>
    <x v="8"/>
    <s v="Coahoma Community College "/>
    <n v="175519"/>
    <x v="8"/>
    <s v="sem"/>
    <s v="sem"/>
    <m/>
    <m/>
    <n v="22326"/>
    <n v="21034"/>
    <n v="2131"/>
    <n v="1708"/>
    <n v="26045"/>
    <n v="21634"/>
    <n v="50502"/>
    <n v="0"/>
    <s v="—"/>
    <n v="1683.4"/>
    <n v="44376"/>
    <n v="44376"/>
    <n v="880"/>
    <n v="1479.2"/>
    <m/>
    <m/>
    <m/>
    <m/>
    <m/>
    <m/>
    <m/>
    <m/>
    <n v="0"/>
    <n v="0"/>
    <m/>
    <n v="0"/>
    <n v="0"/>
    <n v="0"/>
    <m/>
    <n v="0"/>
  </r>
  <r>
    <x v="8"/>
    <s v="Southwest Mississippi Community College  "/>
    <n v="176354"/>
    <x v="8"/>
    <s v="sem"/>
    <s v="sem"/>
    <m/>
    <m/>
    <n v="20965"/>
    <n v="20878"/>
    <n v="3050"/>
    <n v="2632"/>
    <n v="24189"/>
    <n v="25412"/>
    <n v="48204"/>
    <n v="0"/>
    <s v="—"/>
    <n v="1606.8"/>
    <n v="48922"/>
    <n v="48922"/>
    <n v="415"/>
    <n v="1630.7333333333333"/>
    <m/>
    <m/>
    <m/>
    <m/>
    <m/>
    <m/>
    <m/>
    <m/>
    <n v="0"/>
    <n v="0"/>
    <m/>
    <n v="0"/>
    <n v="0"/>
    <n v="0"/>
    <m/>
    <n v="0"/>
  </r>
  <r>
    <x v="9"/>
    <s v="North Carolina State University "/>
    <n v="199193"/>
    <x v="0"/>
    <s v="sem"/>
    <s v="sem"/>
    <m/>
    <m/>
    <n v="297764"/>
    <n v="306377"/>
    <n v="51650"/>
    <n v="52013"/>
    <n v="328261"/>
    <n v="337998"/>
    <n v="677675"/>
    <n v="677675"/>
    <n v="0"/>
    <n v="22589.166666666668"/>
    <n v="696388"/>
    <n v="696388"/>
    <n v="0"/>
    <n v="23212.933333333334"/>
    <m/>
    <m/>
    <m/>
    <m/>
    <m/>
    <m/>
    <m/>
    <m/>
    <n v="0"/>
    <n v="0"/>
    <m/>
    <n v="0"/>
    <n v="0"/>
    <n v="0"/>
    <m/>
    <n v="0"/>
  </r>
  <r>
    <x v="9"/>
    <s v="University of North Carolina at Chapel Hill "/>
    <n v="199120"/>
    <x v="0"/>
    <s v="sem"/>
    <s v="sem"/>
    <m/>
    <m/>
    <n v="215950"/>
    <n v="220821"/>
    <n v="32626"/>
    <n v="33062"/>
    <n v="235737"/>
    <n v="241077"/>
    <n v="484313"/>
    <n v="484313"/>
    <n v="0"/>
    <n v="16143.766666666666"/>
    <n v="494960"/>
    <n v="494960"/>
    <n v="0"/>
    <n v="16498.666666666668"/>
    <m/>
    <m/>
    <m/>
    <m/>
    <m/>
    <m/>
    <m/>
    <m/>
    <n v="0"/>
    <n v="0"/>
    <m/>
    <n v="0"/>
    <n v="0"/>
    <n v="0"/>
    <m/>
    <n v="0"/>
  </r>
  <r>
    <x v="9"/>
    <s v="University of North Carolina at Charlotte"/>
    <n v="199139"/>
    <x v="1"/>
    <s v="sem"/>
    <s v="sem"/>
    <m/>
    <m/>
    <n v="207022"/>
    <n v="216563"/>
    <n v="37377"/>
    <n v="38693"/>
    <n v="233148"/>
    <n v="242637"/>
    <n v="477547"/>
    <n v="477547"/>
    <n v="0"/>
    <n v="15918.233333333334"/>
    <n v="497893"/>
    <n v="497893"/>
    <n v="0"/>
    <n v="16596.433333333334"/>
    <m/>
    <m/>
    <m/>
    <m/>
    <m/>
    <m/>
    <m/>
    <m/>
    <n v="0"/>
    <n v="0"/>
    <m/>
    <n v="0"/>
    <n v="0"/>
    <n v="0"/>
    <m/>
    <n v="0"/>
  </r>
  <r>
    <x v="9"/>
    <s v="University of North Carolina at Greensboro"/>
    <n v="199148"/>
    <x v="1"/>
    <s v="sem"/>
    <s v="sem"/>
    <m/>
    <m/>
    <n v="160967"/>
    <n v="173633"/>
    <n v="24773"/>
    <n v="26613"/>
    <n v="179923"/>
    <n v="193384"/>
    <n v="365663"/>
    <n v="365663"/>
    <n v="4144"/>
    <n v="12188.766666666666"/>
    <n v="393630"/>
    <n v="393630"/>
    <n v="12546"/>
    <n v="13121"/>
    <m/>
    <m/>
    <m/>
    <m/>
    <m/>
    <m/>
    <m/>
    <m/>
    <n v="0"/>
    <n v="0"/>
    <m/>
    <n v="0"/>
    <n v="0"/>
    <n v="0"/>
    <m/>
    <n v="0"/>
  </r>
  <r>
    <x v="9"/>
    <s v="Appalachian State University "/>
    <n v="197869"/>
    <x v="2"/>
    <s v="sem"/>
    <s v="sem"/>
    <m/>
    <m/>
    <n v="176765"/>
    <n v="189910"/>
    <n v="32220"/>
    <n v="31256"/>
    <n v="200769"/>
    <n v="211078"/>
    <n v="409754"/>
    <n v="409754"/>
    <n v="0"/>
    <n v="13658.466666666667"/>
    <n v="432244"/>
    <n v="432244"/>
    <n v="0"/>
    <n v="14408.133333333333"/>
    <m/>
    <m/>
    <m/>
    <m/>
    <m/>
    <m/>
    <m/>
    <m/>
    <n v="0"/>
    <n v="0"/>
    <m/>
    <n v="0"/>
    <n v="0"/>
    <n v="0"/>
    <m/>
    <n v="0"/>
  </r>
  <r>
    <x v="9"/>
    <s v="East Carolina University "/>
    <n v="198464"/>
    <x v="2"/>
    <s v="sem"/>
    <s v="sem"/>
    <m/>
    <m/>
    <n v="231715"/>
    <n v="242035"/>
    <n v="47040"/>
    <n v="49175"/>
    <n v="260641"/>
    <n v="277518"/>
    <n v="539396"/>
    <n v="539396"/>
    <n v="0"/>
    <n v="17979.866666666665"/>
    <n v="568728"/>
    <n v="568728"/>
    <n v="0"/>
    <n v="18957.599999999999"/>
    <m/>
    <m/>
    <m/>
    <m/>
    <m/>
    <m/>
    <m/>
    <m/>
    <n v="0"/>
    <n v="0"/>
    <m/>
    <n v="0"/>
    <n v="0"/>
    <n v="0"/>
    <m/>
    <n v="0"/>
  </r>
  <r>
    <x v="9"/>
    <s v="North Carolina A&amp;T State University"/>
    <n v="199102"/>
    <x v="2"/>
    <s v="sem"/>
    <s v="sem"/>
    <m/>
    <m/>
    <n v="126535"/>
    <n v="119039"/>
    <n v="23819"/>
    <n v="21517"/>
    <n v="127974"/>
    <n v="122706"/>
    <n v="278328"/>
    <n v="278328"/>
    <n v="1042"/>
    <n v="9277.6"/>
    <n v="263262"/>
    <n v="263262"/>
    <n v="874"/>
    <n v="8775.4"/>
    <m/>
    <m/>
    <m/>
    <m/>
    <m/>
    <m/>
    <m/>
    <m/>
    <n v="0"/>
    <n v="0"/>
    <m/>
    <n v="0"/>
    <n v="0"/>
    <n v="0"/>
    <m/>
    <n v="0"/>
  </r>
  <r>
    <x v="9"/>
    <s v="North Carolina Central University "/>
    <n v="199157"/>
    <x v="2"/>
    <s v="sem"/>
    <s v="sem"/>
    <m/>
    <m/>
    <n v="76251"/>
    <n v="77938"/>
    <n v="18429"/>
    <n v="18523"/>
    <n v="84104"/>
    <n v="80189"/>
    <n v="178784"/>
    <n v="178784"/>
    <n v="1556"/>
    <n v="5959.4666666666662"/>
    <n v="176650"/>
    <n v="176650"/>
    <n v="3547"/>
    <n v="5888.333333333333"/>
    <m/>
    <m/>
    <m/>
    <m/>
    <m/>
    <m/>
    <m/>
    <m/>
    <n v="0"/>
    <n v="0"/>
    <m/>
    <n v="0"/>
    <n v="0"/>
    <n v="0"/>
    <m/>
    <n v="0"/>
  </r>
  <r>
    <x v="9"/>
    <s v="University of North Carolina at Wilmington"/>
    <n v="199218"/>
    <x v="2"/>
    <s v="sem"/>
    <s v="sem"/>
    <m/>
    <m/>
    <n v="138426"/>
    <n v="141594"/>
    <n v="26320"/>
    <n v="27182"/>
    <n v="153993"/>
    <n v="157835"/>
    <n v="318739"/>
    <n v="318739"/>
    <n v="0"/>
    <n v="10624.633333333333"/>
    <n v="326611"/>
    <n v="326611"/>
    <n v="646"/>
    <n v="10887.033333333333"/>
    <m/>
    <m/>
    <m/>
    <m/>
    <m/>
    <m/>
    <m/>
    <m/>
    <n v="0"/>
    <n v="0"/>
    <m/>
    <n v="0"/>
    <n v="0"/>
    <n v="0"/>
    <m/>
    <n v="0"/>
  </r>
  <r>
    <x v="9"/>
    <s v="Western Carolina University "/>
    <n v="200004"/>
    <x v="2"/>
    <s v="sem"/>
    <s v="sem"/>
    <m/>
    <m/>
    <n v="89717"/>
    <n v="89807"/>
    <n v="15343"/>
    <n v="15087"/>
    <n v="97168"/>
    <n v="95088"/>
    <n v="202228"/>
    <n v="202228"/>
    <n v="0"/>
    <n v="6740.9333333333334"/>
    <n v="199982"/>
    <n v="199982"/>
    <n v="0"/>
    <n v="6666.0666666666666"/>
    <m/>
    <m/>
    <m/>
    <m/>
    <m/>
    <m/>
    <m/>
    <m/>
    <n v="0"/>
    <n v="0"/>
    <m/>
    <n v="0"/>
    <n v="0"/>
    <n v="0"/>
    <m/>
    <n v="0"/>
  </r>
  <r>
    <x v="9"/>
    <s v="Fayetteville State University "/>
    <n v="198543"/>
    <x v="3"/>
    <s v="sem"/>
    <s v="sem"/>
    <m/>
    <m/>
    <n v="71262"/>
    <n v="76566"/>
    <n v="21280"/>
    <n v="20365"/>
    <n v="81015"/>
    <n v="70479"/>
    <n v="173557"/>
    <n v="173557"/>
    <n v="614"/>
    <n v="5785.2333333333336"/>
    <n v="167410"/>
    <n v="167410"/>
    <n v="1605"/>
    <n v="5580.333333333333"/>
    <m/>
    <m/>
    <m/>
    <m/>
    <m/>
    <m/>
    <m/>
    <m/>
    <n v="0"/>
    <n v="0"/>
    <m/>
    <n v="0"/>
    <n v="0"/>
    <n v="0"/>
    <m/>
    <n v="0"/>
  </r>
  <r>
    <x v="9"/>
    <s v="University of North Carolina at Pembroke"/>
    <n v="199281"/>
    <x v="4"/>
    <s v="sem"/>
    <s v="sem"/>
    <m/>
    <m/>
    <n v="59243"/>
    <n v="61635"/>
    <n v="12991"/>
    <n v="15046"/>
    <n v="66766"/>
    <n v="70251"/>
    <n v="139000"/>
    <n v="139000"/>
    <n v="0"/>
    <n v="4633.333333333333"/>
    <n v="146932"/>
    <n v="146932"/>
    <n v="0"/>
    <n v="4897.7333333333336"/>
    <m/>
    <m/>
    <m/>
    <m/>
    <m/>
    <m/>
    <m/>
    <m/>
    <n v="0"/>
    <n v="0"/>
    <m/>
    <n v="0"/>
    <n v="0"/>
    <n v="0"/>
    <m/>
    <n v="0"/>
  </r>
  <r>
    <x v="9"/>
    <s v="Winston-Salem State University "/>
    <n v="199999"/>
    <x v="4"/>
    <s v="sem"/>
    <s v="sem"/>
    <m/>
    <m/>
    <n v="70012"/>
    <n v="73028"/>
    <n v="11742"/>
    <n v="10745"/>
    <n v="76900"/>
    <n v="84020"/>
    <n v="158654"/>
    <n v="158654"/>
    <n v="0"/>
    <n v="5288.4666666666662"/>
    <n v="167793"/>
    <n v="167793"/>
    <n v="0"/>
    <n v="5593.1"/>
    <m/>
    <m/>
    <m/>
    <m/>
    <m/>
    <m/>
    <m/>
    <m/>
    <n v="0"/>
    <n v="0"/>
    <m/>
    <n v="0"/>
    <n v="0"/>
    <n v="0"/>
    <m/>
    <n v="0"/>
  </r>
  <r>
    <x v="9"/>
    <s v="Elizabeth City State University "/>
    <n v="198507"/>
    <x v="5"/>
    <s v="sem"/>
    <s v="sem"/>
    <m/>
    <m/>
    <n v="36675"/>
    <n v="38820"/>
    <n v="6764"/>
    <n v="6511"/>
    <n v="42008"/>
    <n v="43790"/>
    <n v="85447"/>
    <n v="85447"/>
    <n v="0"/>
    <n v="2848.2333333333331"/>
    <n v="89121"/>
    <n v="89121"/>
    <n v="0"/>
    <n v="2970.7"/>
    <m/>
    <m/>
    <m/>
    <m/>
    <m/>
    <m/>
    <m/>
    <m/>
    <n v="0"/>
    <n v="0"/>
    <m/>
    <n v="0"/>
    <n v="0"/>
    <n v="0"/>
    <m/>
    <n v="0"/>
  </r>
  <r>
    <x v="9"/>
    <s v="University of North Carolina at Asheville"/>
    <n v="199111"/>
    <x v="5"/>
    <s v="sem"/>
    <s v="sem"/>
    <m/>
    <m/>
    <n v="43397"/>
    <n v="42829"/>
    <n v="4134"/>
    <n v="3902"/>
    <n v="47400"/>
    <n v="46290"/>
    <n v="94931"/>
    <n v="94931"/>
    <n v="0"/>
    <n v="3164.3666666666668"/>
    <n v="93021"/>
    <n v="93021"/>
    <n v="0"/>
    <n v="3100.7"/>
    <m/>
    <m/>
    <m/>
    <m/>
    <m/>
    <m/>
    <m/>
    <m/>
    <n v="0"/>
    <n v="0"/>
    <m/>
    <n v="0"/>
    <n v="0"/>
    <n v="0"/>
    <m/>
    <n v="0"/>
  </r>
  <r>
    <x v="9"/>
    <s v="Asheville-Buncombe Technical Community College"/>
    <n v="197887"/>
    <x v="6"/>
    <s v="sem"/>
    <s v="sem"/>
    <m/>
    <m/>
    <n v="79736.399999999994"/>
    <n v="86010"/>
    <n v="27216.6"/>
    <n v="28560"/>
    <n v="89791.5"/>
    <n v="93210"/>
    <n v="196744.5"/>
    <n v="196744.5"/>
    <n v="15152.699999999999"/>
    <n v="6558.15"/>
    <n v="207780"/>
    <n v="207780"/>
    <n v="16126.199999999999"/>
    <n v="6926"/>
    <m/>
    <m/>
    <m/>
    <m/>
    <m/>
    <m/>
    <m/>
    <m/>
    <n v="0"/>
    <n v="0"/>
    <m/>
    <n v="0"/>
    <n v="0"/>
    <n v="0"/>
    <m/>
    <n v="0"/>
  </r>
  <r>
    <x v="9"/>
    <s v="Cape Fear Community College"/>
    <n v="198154"/>
    <x v="6"/>
    <s v="sem"/>
    <s v="sem"/>
    <m/>
    <m/>
    <n v="93353.1"/>
    <n v="103050"/>
    <n v="23851.200000000001"/>
    <n v="27450"/>
    <n v="107288.4"/>
    <n v="114660"/>
    <n v="224492.7"/>
    <n v="224492.7"/>
    <n v="4500.8999999999996"/>
    <n v="7483.09"/>
    <n v="245160"/>
    <n v="245160"/>
    <n v="6239.1"/>
    <n v="8172"/>
    <m/>
    <m/>
    <m/>
    <m/>
    <m/>
    <m/>
    <m/>
    <m/>
    <n v="0"/>
    <n v="0"/>
    <m/>
    <n v="0"/>
    <n v="0"/>
    <n v="0"/>
    <m/>
    <n v="0"/>
  </r>
  <r>
    <x v="9"/>
    <s v="Catawba Valley Community College"/>
    <n v="198233"/>
    <x v="6"/>
    <s v="sem"/>
    <s v="sem"/>
    <m/>
    <m/>
    <n v="63498"/>
    <n v="65550"/>
    <n v="26729.4"/>
    <n v="25620"/>
    <n v="70469.399999999994"/>
    <n v="68910"/>
    <n v="160696.79999999999"/>
    <n v="160696.79999999999"/>
    <n v="5125.8"/>
    <n v="5356.5599999999995"/>
    <n v="160080"/>
    <n v="160080"/>
    <n v="7110.6"/>
    <n v="5336"/>
    <m/>
    <m/>
    <m/>
    <m/>
    <m/>
    <m/>
    <m/>
    <m/>
    <n v="0"/>
    <n v="0"/>
    <m/>
    <n v="0"/>
    <n v="0"/>
    <n v="0"/>
    <m/>
    <n v="0"/>
  </r>
  <r>
    <x v="9"/>
    <s v="Central Carolina Commuity College"/>
    <n v="198251"/>
    <x v="6"/>
    <s v="sem"/>
    <s v="sem"/>
    <m/>
    <m/>
    <n v="69392.100000000006"/>
    <n v="68550"/>
    <n v="22673.7"/>
    <n v="23610"/>
    <n v="75305.399999999994"/>
    <n v="77370"/>
    <n v="167371.20000000001"/>
    <n v="167371.20000000001"/>
    <n v="11601.6"/>
    <n v="5579.04"/>
    <n v="169530"/>
    <n v="169530"/>
    <n v="10050.9"/>
    <n v="5651"/>
    <m/>
    <m/>
    <m/>
    <m/>
    <m/>
    <m/>
    <m/>
    <m/>
    <n v="0"/>
    <n v="0"/>
    <m/>
    <n v="0"/>
    <n v="0"/>
    <n v="0"/>
    <m/>
    <n v="0"/>
  </r>
  <r>
    <x v="9"/>
    <s v="Central Piedmont Community College "/>
    <n v="198260"/>
    <x v="6"/>
    <s v="sem"/>
    <s v="sem"/>
    <m/>
    <m/>
    <n v="196483.20000000001"/>
    <n v="206700"/>
    <n v="55141.8"/>
    <n v="57900"/>
    <n v="213131.4"/>
    <n v="223560"/>
    <n v="464756.4"/>
    <n v="464756.4"/>
    <n v="6760.8"/>
    <n v="15491.880000000001"/>
    <n v="488160"/>
    <n v="488160"/>
    <n v="9349.5"/>
    <n v="16272"/>
    <m/>
    <m/>
    <m/>
    <m/>
    <m/>
    <m/>
    <m/>
    <m/>
    <n v="0"/>
    <n v="0"/>
    <m/>
    <n v="0"/>
    <n v="0"/>
    <n v="0"/>
    <m/>
    <n v="0"/>
  </r>
  <r>
    <x v="9"/>
    <s v="Durham Technical Community College"/>
    <n v="198455"/>
    <x v="6"/>
    <s v="sem"/>
    <s v="sem"/>
    <m/>
    <m/>
    <n v="62991.6"/>
    <n v="61440"/>
    <n v="24721.200000000001"/>
    <n v="25140"/>
    <n v="67229.399999999994"/>
    <n v="67980"/>
    <n v="154942.20000000001"/>
    <n v="154942.20000000001"/>
    <n v="2754.3"/>
    <n v="5164.7400000000007"/>
    <n v="154560"/>
    <n v="154560"/>
    <n v="3572.7000000000003"/>
    <n v="5152"/>
    <m/>
    <m/>
    <m/>
    <m/>
    <m/>
    <m/>
    <m/>
    <m/>
    <n v="0"/>
    <n v="0"/>
    <m/>
    <n v="0"/>
    <n v="0"/>
    <n v="0"/>
    <m/>
    <n v="0"/>
  </r>
  <r>
    <x v="9"/>
    <s v="Fayetteville Technical Community College"/>
    <n v="198534"/>
    <x v="6"/>
    <s v="sem"/>
    <s v="sem"/>
    <m/>
    <m/>
    <n v="144801.29999999999"/>
    <n v="142590"/>
    <n v="49518"/>
    <n v="51810"/>
    <n v="146046"/>
    <n v="156180"/>
    <n v="340365.3"/>
    <n v="340365.3"/>
    <n v="6423.9"/>
    <n v="11345.51"/>
    <n v="350580"/>
    <n v="350580"/>
    <n v="8471.4"/>
    <n v="11686"/>
    <m/>
    <m/>
    <m/>
    <m/>
    <m/>
    <m/>
    <m/>
    <m/>
    <n v="0"/>
    <n v="0"/>
    <m/>
    <n v="0"/>
    <n v="0"/>
    <n v="0"/>
    <m/>
    <n v="0"/>
  </r>
  <r>
    <x v="9"/>
    <s v="Forsyth Technical Community College"/>
    <n v="198552"/>
    <x v="6"/>
    <s v="sem"/>
    <s v="sem"/>
    <m/>
    <m/>
    <n v="87169.5"/>
    <n v="95460"/>
    <n v="33527.4"/>
    <n v="35550"/>
    <n v="95282.1"/>
    <n v="108150"/>
    <n v="215979"/>
    <n v="215979"/>
    <n v="2907.9"/>
    <n v="7199.3"/>
    <n v="239160"/>
    <n v="239160"/>
    <n v="3055.8"/>
    <n v="7972"/>
    <m/>
    <m/>
    <m/>
    <m/>
    <m/>
    <m/>
    <m/>
    <m/>
    <n v="0"/>
    <n v="0"/>
    <m/>
    <n v="0"/>
    <n v="0"/>
    <n v="0"/>
    <m/>
    <n v="0"/>
  </r>
  <r>
    <x v="9"/>
    <s v="Guilford Technical Community College"/>
    <n v="198622"/>
    <x v="6"/>
    <s v="sem"/>
    <s v="sem"/>
    <m/>
    <m/>
    <n v="128082.9"/>
    <n v="136500"/>
    <n v="37450.199999999997"/>
    <n v="39330"/>
    <n v="146596.79999999999"/>
    <n v="161400"/>
    <n v="312129.89999999997"/>
    <n v="312129.89999999997"/>
    <n v="1731.6"/>
    <n v="10404.329999999998"/>
    <n v="337230"/>
    <n v="337230"/>
    <n v="2173.1999999999998"/>
    <n v="11241"/>
    <m/>
    <m/>
    <m/>
    <m/>
    <m/>
    <m/>
    <m/>
    <m/>
    <n v="0"/>
    <n v="0"/>
    <m/>
    <n v="0"/>
    <n v="0"/>
    <n v="0"/>
    <m/>
    <n v="0"/>
  </r>
  <r>
    <x v="9"/>
    <s v="Pitt Community College"/>
    <n v="199333"/>
    <x v="6"/>
    <s v="sem"/>
    <s v="sem"/>
    <m/>
    <m/>
    <n v="80440.800000000003"/>
    <n v="86280"/>
    <n v="26049"/>
    <n v="27330"/>
    <n v="86857.2"/>
    <n v="92940"/>
    <n v="193347"/>
    <n v="193347"/>
    <n v="3567.2999999999997"/>
    <n v="6444.9"/>
    <n v="206550"/>
    <n v="206550"/>
    <n v="4218.3"/>
    <n v="6885"/>
    <m/>
    <m/>
    <m/>
    <m/>
    <m/>
    <m/>
    <m/>
    <m/>
    <n v="0"/>
    <n v="0"/>
    <m/>
    <n v="0"/>
    <n v="0"/>
    <n v="0"/>
    <m/>
    <n v="0"/>
  </r>
  <r>
    <x v="9"/>
    <s v="Rowan-Cabarrus Community College"/>
    <n v="199494"/>
    <x v="6"/>
    <s v="sem"/>
    <s v="sem"/>
    <m/>
    <m/>
    <n v="66212.399999999994"/>
    <n v="70020"/>
    <n v="20848.5"/>
    <n v="22560"/>
    <n v="76593.899999999994"/>
    <n v="81900"/>
    <n v="163654.79999999999"/>
    <n v="163654.79999999999"/>
    <n v="4765.5"/>
    <n v="5455.16"/>
    <n v="174480"/>
    <n v="174480"/>
    <n v="4854"/>
    <n v="5816"/>
    <m/>
    <m/>
    <m/>
    <m/>
    <m/>
    <m/>
    <m/>
    <m/>
    <n v="0"/>
    <n v="0"/>
    <m/>
    <n v="0"/>
    <n v="0"/>
    <n v="0"/>
    <m/>
    <n v="0"/>
  </r>
  <r>
    <x v="9"/>
    <s v="Wake Technical Community College"/>
    <n v="199856"/>
    <x v="6"/>
    <s v="sem"/>
    <s v="sem"/>
    <m/>
    <m/>
    <n v="155446.5"/>
    <n v="172110"/>
    <n v="60519.3"/>
    <n v="60240"/>
    <n v="175045.5"/>
    <n v="197040"/>
    <n v="391011.3"/>
    <n v="391011.3"/>
    <n v="2702.7000000000003"/>
    <n v="13033.71"/>
    <n v="429390"/>
    <n v="429390"/>
    <n v="4712.7"/>
    <n v="14313"/>
    <m/>
    <m/>
    <m/>
    <m/>
    <m/>
    <m/>
    <m/>
    <m/>
    <n v="0"/>
    <n v="0"/>
    <m/>
    <n v="0"/>
    <n v="0"/>
    <n v="0"/>
    <m/>
    <n v="0"/>
  </r>
  <r>
    <x v="9"/>
    <s v="Alamance Community College"/>
    <n v="199786"/>
    <x v="7"/>
    <s v="sem"/>
    <s v="sem"/>
    <m/>
    <m/>
    <n v="53619.6"/>
    <n v="55770"/>
    <n v="16669.2"/>
    <n v="16920"/>
    <n v="55407"/>
    <n v="61560"/>
    <n v="125695.8"/>
    <n v="125695.8"/>
    <n v="7878.0000000000009"/>
    <n v="4189.8599999999997"/>
    <n v="134250"/>
    <n v="134250"/>
    <n v="6508.2"/>
    <n v="4475"/>
    <m/>
    <m/>
    <m/>
    <m/>
    <m/>
    <m/>
    <m/>
    <m/>
    <n v="0"/>
    <n v="0"/>
    <m/>
    <n v="0"/>
    <n v="0"/>
    <n v="0"/>
    <m/>
    <n v="0"/>
  </r>
  <r>
    <x v="9"/>
    <s v="Blue Ridge Community College"/>
    <n v="198039"/>
    <x v="7"/>
    <s v="sem"/>
    <s v="sem"/>
    <m/>
    <m/>
    <n v="28305.9"/>
    <n v="28110"/>
    <n v="9307.7999999999993"/>
    <n v="9180"/>
    <n v="30540.6"/>
    <n v="31890"/>
    <n v="68154.299999999988"/>
    <n v="68154.299999999988"/>
    <n v="3580.2000000000003"/>
    <n v="2271.8099999999995"/>
    <n v="69180"/>
    <n v="69180"/>
    <n v="4297.5"/>
    <n v="2306"/>
    <m/>
    <m/>
    <m/>
    <m/>
    <m/>
    <m/>
    <m/>
    <m/>
    <n v="0"/>
    <n v="0"/>
    <m/>
    <n v="0"/>
    <n v="0"/>
    <n v="0"/>
    <m/>
    <n v="0"/>
  </r>
  <r>
    <x v="9"/>
    <s v="Caldwell Community College  &amp; Technical Institute"/>
    <n v="198118"/>
    <x v="7"/>
    <s v="sem"/>
    <s v="sem"/>
    <m/>
    <m/>
    <n v="53920.2"/>
    <n v="55950"/>
    <n v="17594.7"/>
    <n v="16770"/>
    <n v="59719.8"/>
    <n v="60630"/>
    <n v="131234.70000000001"/>
    <n v="131234.70000000001"/>
    <n v="6217.5"/>
    <n v="4374.4900000000007"/>
    <n v="133350"/>
    <n v="133350"/>
    <n v="8217.3000000000011"/>
    <n v="4445"/>
    <m/>
    <m/>
    <m/>
    <m/>
    <m/>
    <m/>
    <m/>
    <m/>
    <n v="0"/>
    <n v="0"/>
    <m/>
    <n v="0"/>
    <n v="0"/>
    <n v="0"/>
    <m/>
    <n v="0"/>
  </r>
  <r>
    <x v="9"/>
    <s v="Cleveland Community College"/>
    <n v="198321"/>
    <x v="7"/>
    <s v="sem"/>
    <s v="sem"/>
    <m/>
    <m/>
    <n v="41870.699999999997"/>
    <n v="42000"/>
    <n v="10571.1"/>
    <n v="9210"/>
    <n v="43391.1"/>
    <n v="47580"/>
    <n v="95832.9"/>
    <n v="95832.9"/>
    <n v="11221.8"/>
    <n v="3194.43"/>
    <n v="98790"/>
    <n v="98790"/>
    <n v="11254.800000000001"/>
    <n v="3293"/>
    <m/>
    <m/>
    <m/>
    <m/>
    <m/>
    <m/>
    <m/>
    <m/>
    <n v="0"/>
    <n v="0"/>
    <m/>
    <n v="0"/>
    <n v="0"/>
    <n v="0"/>
    <m/>
    <n v="0"/>
  </r>
  <r>
    <x v="9"/>
    <s v="Coastal Carolina Community College "/>
    <n v="198330"/>
    <x v="7"/>
    <s v="sem"/>
    <s v="sem"/>
    <m/>
    <m/>
    <n v="59856"/>
    <n v="60150"/>
    <n v="25679.4"/>
    <n v="27090"/>
    <n v="61953"/>
    <n v="65280"/>
    <n v="147488.4"/>
    <n v="147488.4"/>
    <n v="1236.8999999999999"/>
    <n v="4916.28"/>
    <n v="152520"/>
    <n v="152520"/>
    <n v="1573.5"/>
    <n v="5084"/>
    <m/>
    <m/>
    <m/>
    <m/>
    <m/>
    <m/>
    <m/>
    <m/>
    <n v="0"/>
    <n v="0"/>
    <m/>
    <n v="0"/>
    <n v="0"/>
    <n v="0"/>
    <m/>
    <n v="0"/>
  </r>
  <r>
    <x v="9"/>
    <s v="College of the Albemarle"/>
    <n v="197814"/>
    <x v="7"/>
    <s v="sem"/>
    <s v="sem"/>
    <m/>
    <m/>
    <n v="31458"/>
    <n v="33570"/>
    <n v="8565"/>
    <n v="6720"/>
    <n v="33021.9"/>
    <n v="35400"/>
    <n v="73044.899999999994"/>
    <n v="73044.899999999994"/>
    <n v="4022.7000000000003"/>
    <n v="2434.83"/>
    <n v="75690"/>
    <n v="75690"/>
    <n v="3090.9"/>
    <n v="2523"/>
    <m/>
    <m/>
    <m/>
    <m/>
    <m/>
    <m/>
    <m/>
    <m/>
    <n v="0"/>
    <n v="0"/>
    <m/>
    <n v="0"/>
    <n v="0"/>
    <n v="0"/>
    <m/>
    <n v="0"/>
  </r>
  <r>
    <x v="9"/>
    <s v="Craven Community College "/>
    <n v="198367"/>
    <x v="7"/>
    <s v="sem"/>
    <s v="sem"/>
    <m/>
    <m/>
    <n v="38330.400000000001"/>
    <n v="38190"/>
    <n v="14612.1"/>
    <n v="11640"/>
    <n v="39601.5"/>
    <n v="42090"/>
    <n v="92544"/>
    <n v="92544"/>
    <n v="2396.6999999999998"/>
    <n v="3084.8"/>
    <n v="91920"/>
    <n v="91920"/>
    <n v="3090.3"/>
    <n v="3064"/>
    <m/>
    <m/>
    <m/>
    <m/>
    <m/>
    <m/>
    <m/>
    <m/>
    <n v="0"/>
    <n v="0"/>
    <m/>
    <n v="0"/>
    <n v="0"/>
    <n v="0"/>
    <m/>
    <n v="0"/>
  </r>
  <r>
    <x v="9"/>
    <s v="Davidson County Community College "/>
    <n v="198376"/>
    <x v="7"/>
    <s v="sem"/>
    <s v="sem"/>
    <m/>
    <m/>
    <n v="46713.3"/>
    <n v="51870"/>
    <n v="15319.2"/>
    <n v="17490"/>
    <n v="51677.7"/>
    <n v="55740"/>
    <n v="113710.2"/>
    <n v="113710.2"/>
    <n v="4794.3"/>
    <n v="3790.3399999999997"/>
    <n v="125100"/>
    <n v="125100"/>
    <n v="5775"/>
    <n v="4170"/>
    <m/>
    <m/>
    <m/>
    <m/>
    <m/>
    <m/>
    <m/>
    <m/>
    <n v="0"/>
    <n v="0"/>
    <m/>
    <n v="0"/>
    <n v="0"/>
    <n v="0"/>
    <m/>
    <n v="0"/>
  </r>
  <r>
    <x v="9"/>
    <s v="Edgecombe Community College"/>
    <n v="198491"/>
    <x v="7"/>
    <s v="sem"/>
    <s v="sem"/>
    <m/>
    <m/>
    <n v="31644"/>
    <n v="31140"/>
    <n v="11615.1"/>
    <n v="10470"/>
    <n v="29290.5"/>
    <n v="34230"/>
    <n v="72549.600000000006"/>
    <n v="72549.600000000006"/>
    <n v="5900.7"/>
    <n v="2418.3200000000002"/>
    <n v="75840"/>
    <n v="75840"/>
    <n v="3350.7"/>
    <n v="2528"/>
    <m/>
    <m/>
    <m/>
    <m/>
    <m/>
    <m/>
    <m/>
    <m/>
    <n v="0"/>
    <n v="0"/>
    <m/>
    <n v="0"/>
    <n v="0"/>
    <n v="0"/>
    <m/>
    <n v="0"/>
  </r>
  <r>
    <x v="9"/>
    <s v="Gaston College "/>
    <n v="198570"/>
    <x v="7"/>
    <s v="sem"/>
    <s v="sem"/>
    <m/>
    <m/>
    <n v="65707.5"/>
    <n v="66090"/>
    <n v="15223.8"/>
    <n v="17160"/>
    <n v="68744.7"/>
    <n v="74100"/>
    <n v="149676"/>
    <n v="149676"/>
    <n v="5564.1"/>
    <n v="4989.2"/>
    <n v="157350"/>
    <n v="157350"/>
    <n v="6891.3"/>
    <n v="5245"/>
    <m/>
    <m/>
    <m/>
    <m/>
    <m/>
    <m/>
    <m/>
    <m/>
    <n v="0"/>
    <n v="0"/>
    <m/>
    <n v="0"/>
    <n v="0"/>
    <n v="0"/>
    <m/>
    <n v="0"/>
  </r>
  <r>
    <x v="9"/>
    <s v="Haywood Community College"/>
    <n v="198668"/>
    <x v="7"/>
    <s v="sem"/>
    <s v="sem"/>
    <m/>
    <m/>
    <n v="26208.6"/>
    <n v="26010"/>
    <n v="6795.3"/>
    <n v="6840"/>
    <n v="29013.599999999999"/>
    <n v="28170"/>
    <n v="62017.5"/>
    <n v="62017.5"/>
    <n v="8874.2999999999993"/>
    <n v="2067.25"/>
    <n v="61020"/>
    <n v="61020"/>
    <n v="9819"/>
    <n v="2034"/>
    <m/>
    <m/>
    <m/>
    <m/>
    <m/>
    <m/>
    <m/>
    <m/>
    <n v="0"/>
    <n v="0"/>
    <m/>
    <n v="0"/>
    <n v="0"/>
    <n v="0"/>
    <m/>
    <n v="0"/>
  </r>
  <r>
    <x v="9"/>
    <s v="Isothermal Community College "/>
    <n v="198710"/>
    <x v="7"/>
    <s v="sem"/>
    <s v="sem"/>
    <m/>
    <m/>
    <n v="30468.3"/>
    <n v="28710"/>
    <n v="9210.2999999999993"/>
    <n v="10710"/>
    <n v="31934.1"/>
    <n v="32820"/>
    <n v="71612.7"/>
    <n v="71612.7"/>
    <n v="4916.7"/>
    <n v="2387.0899999999997"/>
    <n v="72240"/>
    <n v="72240"/>
    <n v="6355.5"/>
    <n v="2408"/>
    <m/>
    <m/>
    <m/>
    <m/>
    <m/>
    <m/>
    <m/>
    <m/>
    <n v="0"/>
    <n v="0"/>
    <m/>
    <n v="0"/>
    <n v="0"/>
    <n v="0"/>
    <m/>
    <n v="0"/>
  </r>
  <r>
    <x v="9"/>
    <s v="Johnston Community College"/>
    <n v="198774"/>
    <x v="7"/>
    <s v="sem"/>
    <s v="sem"/>
    <m/>
    <m/>
    <n v="53734.2"/>
    <n v="59580"/>
    <n v="13241.4"/>
    <n v="13350"/>
    <n v="61606.8"/>
    <n v="62700"/>
    <n v="128582.39999999999"/>
    <n v="128582.39999999999"/>
    <n v="13964.1"/>
    <n v="4286.08"/>
    <n v="135630"/>
    <n v="135630"/>
    <n v="16101.6"/>
    <n v="4521"/>
    <m/>
    <m/>
    <m/>
    <m/>
    <m/>
    <m/>
    <m/>
    <m/>
    <n v="0"/>
    <n v="0"/>
    <m/>
    <n v="0"/>
    <n v="0"/>
    <n v="0"/>
    <m/>
    <n v="0"/>
  </r>
  <r>
    <x v="9"/>
    <s v="Lenoir Community College "/>
    <n v="198817"/>
    <x v="7"/>
    <s v="sem"/>
    <s v="sem"/>
    <m/>
    <m/>
    <n v="44351.7"/>
    <n v="47910"/>
    <n v="16758.3"/>
    <n v="17970"/>
    <n v="46166.1"/>
    <n v="50040"/>
    <n v="107276.1"/>
    <n v="107276.1"/>
    <n v="3052.5"/>
    <n v="3575.8700000000003"/>
    <n v="115920"/>
    <n v="115920"/>
    <n v="4818.8999999999996"/>
    <n v="3864"/>
    <m/>
    <m/>
    <m/>
    <m/>
    <m/>
    <m/>
    <m/>
    <m/>
    <n v="0"/>
    <n v="0"/>
    <m/>
    <n v="0"/>
    <n v="0"/>
    <n v="0"/>
    <m/>
    <n v="0"/>
  </r>
  <r>
    <x v="9"/>
    <s v="Mayland Community College"/>
    <n v="198914"/>
    <x v="7"/>
    <s v="sem"/>
    <s v="sem"/>
    <m/>
    <m/>
    <n v="25375.5"/>
    <n v="26160"/>
    <n v="8866.2000000000007"/>
    <n v="8550"/>
    <n v="25807.200000000001"/>
    <n v="26550"/>
    <n v="60048.899999999994"/>
    <n v="60048.899999999994"/>
    <n v="7551.6"/>
    <n v="2001.6299999999999"/>
    <n v="61260"/>
    <n v="61260"/>
    <n v="7393.8"/>
    <n v="2042"/>
    <m/>
    <m/>
    <m/>
    <m/>
    <m/>
    <m/>
    <m/>
    <m/>
    <n v="0"/>
    <n v="0"/>
    <m/>
    <n v="0"/>
    <n v="0"/>
    <n v="0"/>
    <m/>
    <n v="0"/>
  </r>
  <r>
    <x v="9"/>
    <s v="Mitchell Community College "/>
    <n v="198987"/>
    <x v="7"/>
    <s v="sem"/>
    <s v="sem"/>
    <m/>
    <m/>
    <n v="30348.3"/>
    <n v="34350"/>
    <n v="8579.7000000000007"/>
    <n v="9720"/>
    <n v="34473.300000000003"/>
    <n v="38970"/>
    <n v="73401.3"/>
    <n v="73401.3"/>
    <n v="3261.6"/>
    <n v="2446.71"/>
    <n v="83040"/>
    <n v="83040"/>
    <n v="2363.4"/>
    <n v="2768"/>
    <m/>
    <m/>
    <m/>
    <m/>
    <m/>
    <m/>
    <m/>
    <m/>
    <n v="0"/>
    <n v="0"/>
    <m/>
    <n v="0"/>
    <n v="0"/>
    <n v="0"/>
    <m/>
    <n v="0"/>
  </r>
  <r>
    <x v="9"/>
    <s v="Nash Community College"/>
    <n v="199087"/>
    <x v="7"/>
    <s v="sem"/>
    <s v="sem"/>
    <m/>
    <m/>
    <n v="34855.800000000003"/>
    <n v="35790"/>
    <n v="7971.3"/>
    <n v="8700"/>
    <n v="38862"/>
    <n v="38610"/>
    <n v="81689.100000000006"/>
    <n v="81689.100000000006"/>
    <n v="4656.6000000000004"/>
    <n v="2722.9700000000003"/>
    <n v="83100"/>
    <n v="83100"/>
    <n v="5916.6"/>
    <n v="2770"/>
    <m/>
    <m/>
    <m/>
    <m/>
    <m/>
    <m/>
    <m/>
    <m/>
    <n v="0"/>
    <n v="0"/>
    <m/>
    <n v="0"/>
    <n v="0"/>
    <n v="0"/>
    <m/>
    <n v="0"/>
  </r>
  <r>
    <x v="9"/>
    <s v="Piedmont Community College"/>
    <n v="199324"/>
    <x v="7"/>
    <s v="sem"/>
    <s v="sem"/>
    <m/>
    <m/>
    <n v="38240.1"/>
    <n v="37890"/>
    <n v="10003.5"/>
    <n v="8850"/>
    <n v="39345.300000000003"/>
    <n v="39900"/>
    <n v="87588.9"/>
    <n v="87588.9"/>
    <n v="13527.9"/>
    <n v="2919.6299999999997"/>
    <n v="86640"/>
    <n v="86640"/>
    <n v="14401.2"/>
    <n v="2888"/>
    <m/>
    <m/>
    <m/>
    <m/>
    <m/>
    <m/>
    <m/>
    <m/>
    <n v="0"/>
    <n v="0"/>
    <m/>
    <n v="0"/>
    <n v="0"/>
    <n v="0"/>
    <m/>
    <n v="0"/>
  </r>
  <r>
    <x v="9"/>
    <s v="Randolph Community College"/>
    <n v="199421"/>
    <x v="7"/>
    <s v="sem"/>
    <s v="sem"/>
    <m/>
    <m/>
    <n v="32471.1"/>
    <n v="33210"/>
    <n v="15437.1"/>
    <n v="13980"/>
    <n v="34741.800000000003"/>
    <n v="36690"/>
    <n v="82650"/>
    <n v="82650"/>
    <n v="2985"/>
    <n v="2755"/>
    <n v="83880"/>
    <n v="83880"/>
    <n v="4573.2"/>
    <n v="2796"/>
    <m/>
    <m/>
    <m/>
    <m/>
    <m/>
    <m/>
    <m/>
    <m/>
    <n v="0"/>
    <n v="0"/>
    <m/>
    <n v="0"/>
    <n v="0"/>
    <n v="0"/>
    <m/>
    <n v="0"/>
  </r>
  <r>
    <x v="9"/>
    <s v="Richmond Community College"/>
    <n v="199449"/>
    <x v="7"/>
    <s v="sem"/>
    <s v="sem"/>
    <m/>
    <m/>
    <n v="27529.200000000001"/>
    <n v="28410"/>
    <n v="9811.7999999999993"/>
    <n v="9960"/>
    <n v="29733"/>
    <n v="29580"/>
    <n v="67074"/>
    <n v="67074"/>
    <n v="819.3"/>
    <n v="2235.8000000000002"/>
    <n v="67950"/>
    <n v="67950"/>
    <n v="1954.2"/>
    <n v="2265"/>
    <m/>
    <m/>
    <m/>
    <m/>
    <m/>
    <m/>
    <m/>
    <m/>
    <n v="0"/>
    <n v="0"/>
    <m/>
    <n v="0"/>
    <n v="0"/>
    <n v="0"/>
    <m/>
    <n v="0"/>
  </r>
  <r>
    <x v="9"/>
    <s v="Robeson Community College"/>
    <n v="199476"/>
    <x v="7"/>
    <s v="sem"/>
    <s v="sem"/>
    <m/>
    <m/>
    <n v="49696.5"/>
    <n v="47250"/>
    <n v="20427.900000000001"/>
    <n v="18420"/>
    <n v="48988.800000000003"/>
    <n v="50850"/>
    <n v="119113.2"/>
    <n v="119113.2"/>
    <n v="1025.6999999999998"/>
    <n v="3970.44"/>
    <n v="116520"/>
    <n v="116520"/>
    <n v="1586.4"/>
    <n v="3884"/>
    <m/>
    <m/>
    <m/>
    <m/>
    <m/>
    <m/>
    <m/>
    <m/>
    <n v="0"/>
    <n v="0"/>
    <m/>
    <n v="0"/>
    <n v="0"/>
    <n v="0"/>
    <m/>
    <n v="0"/>
  </r>
  <r>
    <x v="9"/>
    <s v="Rockingham Community College "/>
    <n v="199485"/>
    <x v="7"/>
    <s v="sem"/>
    <s v="sem"/>
    <m/>
    <m/>
    <n v="28234.5"/>
    <n v="27180"/>
    <n v="8923.7999999999993"/>
    <n v="9120"/>
    <n v="30387.9"/>
    <n v="30870"/>
    <n v="67546.200000000012"/>
    <n v="67546.200000000012"/>
    <n v="700.2"/>
    <n v="2251.5400000000004"/>
    <n v="67170"/>
    <n v="67170"/>
    <n v="718.2"/>
    <n v="2239"/>
    <m/>
    <m/>
    <m/>
    <m/>
    <m/>
    <m/>
    <m/>
    <m/>
    <n v="0"/>
    <n v="0"/>
    <m/>
    <n v="0"/>
    <n v="0"/>
    <n v="0"/>
    <m/>
    <n v="0"/>
  </r>
  <r>
    <x v="9"/>
    <s v="Sandhills Community College "/>
    <n v="199634"/>
    <x v="7"/>
    <s v="sem"/>
    <s v="sem"/>
    <m/>
    <m/>
    <n v="52218.9"/>
    <n v="52860"/>
    <n v="15322.2"/>
    <n v="16230"/>
    <n v="54869.1"/>
    <n v="55950"/>
    <n v="122410.20000000001"/>
    <n v="122410.20000000001"/>
    <n v="5536.8"/>
    <n v="4080.3400000000006"/>
    <n v="125040"/>
    <n v="125040"/>
    <n v="6424.8"/>
    <n v="4168"/>
    <m/>
    <m/>
    <m/>
    <m/>
    <m/>
    <m/>
    <m/>
    <m/>
    <n v="0"/>
    <n v="0"/>
    <m/>
    <n v="0"/>
    <n v="0"/>
    <n v="0"/>
    <m/>
    <n v="0"/>
  </r>
  <r>
    <x v="9"/>
    <s v="South Piedmont Community College"/>
    <n v="197850"/>
    <x v="7"/>
    <s v="sem"/>
    <s v="sem"/>
    <m/>
    <m/>
    <n v="29047.8"/>
    <n v="31920"/>
    <n v="8410.5"/>
    <n v="10200"/>
    <n v="31284.3"/>
    <n v="34830"/>
    <n v="68742.600000000006"/>
    <n v="68742.600000000006"/>
    <n v="2486.6999999999998"/>
    <n v="2291.42"/>
    <n v="76950"/>
    <n v="76950"/>
    <n v="2736.6"/>
    <n v="2565"/>
    <m/>
    <m/>
    <m/>
    <m/>
    <m/>
    <m/>
    <m/>
    <m/>
    <n v="0"/>
    <n v="0"/>
    <m/>
    <n v="0"/>
    <n v="0"/>
    <n v="0"/>
    <m/>
    <n v="0"/>
  </r>
  <r>
    <x v="9"/>
    <s v="Southeastern Community College "/>
    <n v="199722"/>
    <x v="7"/>
    <s v="sem"/>
    <s v="sem"/>
    <m/>
    <m/>
    <n v="34295.1"/>
    <n v="33750"/>
    <n v="10899.6"/>
    <n v="10320"/>
    <n v="33498.9"/>
    <n v="36210"/>
    <n v="78693.600000000006"/>
    <n v="78693.600000000006"/>
    <n v="3004.7999999999997"/>
    <n v="2623.1200000000003"/>
    <n v="80280"/>
    <n v="80280"/>
    <n v="3751.8"/>
    <n v="2676"/>
    <m/>
    <m/>
    <m/>
    <m/>
    <m/>
    <m/>
    <m/>
    <m/>
    <n v="0"/>
    <n v="0"/>
    <m/>
    <n v="0"/>
    <n v="0"/>
    <n v="0"/>
    <m/>
    <n v="0"/>
  </r>
  <r>
    <x v="9"/>
    <s v="Southwestern Community College "/>
    <n v="199731"/>
    <x v="7"/>
    <s v="sem"/>
    <s v="sem"/>
    <m/>
    <m/>
    <n v="31130.1"/>
    <n v="31800"/>
    <n v="8774.1"/>
    <n v="10020"/>
    <n v="32337.3"/>
    <n v="35790"/>
    <n v="72241.5"/>
    <n v="72241.5"/>
    <n v="5305.2"/>
    <n v="2408.0500000000002"/>
    <n v="77610"/>
    <n v="77610"/>
    <n v="5591.7"/>
    <n v="2587"/>
    <m/>
    <m/>
    <m/>
    <m/>
    <m/>
    <m/>
    <m/>
    <m/>
    <n v="0"/>
    <n v="0"/>
    <m/>
    <n v="0"/>
    <n v="0"/>
    <n v="0"/>
    <m/>
    <n v="0"/>
  </r>
  <r>
    <x v="9"/>
    <s v="Stanly Community College"/>
    <n v="199740"/>
    <x v="7"/>
    <s v="sem"/>
    <s v="sem"/>
    <m/>
    <m/>
    <n v="31729.8"/>
    <n v="33600"/>
    <n v="11306.7"/>
    <n v="12390"/>
    <n v="36682.800000000003"/>
    <n v="38340"/>
    <n v="79719.3"/>
    <n v="79719.3"/>
    <n v="1945.4999999999998"/>
    <n v="2657.31"/>
    <n v="84330"/>
    <n v="84330"/>
    <n v="2184.9"/>
    <n v="2811"/>
    <m/>
    <m/>
    <m/>
    <m/>
    <m/>
    <m/>
    <m/>
    <m/>
    <n v="0"/>
    <n v="0"/>
    <m/>
    <n v="0"/>
    <n v="0"/>
    <n v="0"/>
    <m/>
    <n v="0"/>
  </r>
  <r>
    <x v="9"/>
    <s v="Surry Community College "/>
    <n v="199768"/>
    <x v="7"/>
    <s v="sem"/>
    <s v="sem"/>
    <m/>
    <m/>
    <n v="39643.199999999997"/>
    <n v="45870"/>
    <n v="13994.1"/>
    <n v="15660"/>
    <n v="48246.9"/>
    <n v="50220"/>
    <n v="101884.2"/>
    <n v="101884.2"/>
    <n v="4574.3999999999996"/>
    <n v="3396.14"/>
    <n v="111750"/>
    <n v="111750"/>
    <n v="5393.4"/>
    <n v="3725"/>
    <m/>
    <m/>
    <m/>
    <m/>
    <m/>
    <m/>
    <m/>
    <m/>
    <n v="0"/>
    <n v="0"/>
    <m/>
    <n v="0"/>
    <n v="0"/>
    <n v="0"/>
    <m/>
    <n v="0"/>
  </r>
  <r>
    <x v="9"/>
    <s v="Vance-Granville Community College "/>
    <n v="199838"/>
    <x v="7"/>
    <s v="sem"/>
    <s v="sem"/>
    <m/>
    <m/>
    <n v="58582.8"/>
    <n v="58950"/>
    <n v="19345.5"/>
    <n v="18210"/>
    <n v="60859.5"/>
    <n v="65460"/>
    <n v="138787.79999999999"/>
    <n v="138787.79999999999"/>
    <n v="7139.7000000000007"/>
    <n v="4626.2599999999993"/>
    <n v="142620"/>
    <n v="142620"/>
    <n v="9395.7000000000007"/>
    <n v="4754"/>
    <m/>
    <m/>
    <m/>
    <m/>
    <m/>
    <m/>
    <m/>
    <m/>
    <n v="0"/>
    <n v="0"/>
    <m/>
    <n v="0"/>
    <n v="0"/>
    <n v="0"/>
    <m/>
    <n v="0"/>
  </r>
  <r>
    <x v="9"/>
    <s v="Wayne Community College"/>
    <n v="199892"/>
    <x v="7"/>
    <s v="sem"/>
    <s v="sem"/>
    <m/>
    <m/>
    <n v="47070"/>
    <n v="49020"/>
    <n v="15581.4"/>
    <n v="17190"/>
    <n v="50458.5"/>
    <n v="52440"/>
    <n v="113109.9"/>
    <n v="113109.9"/>
    <n v="2666.3999999999996"/>
    <n v="3770.33"/>
    <n v="118650"/>
    <n v="118650"/>
    <n v="3508.2"/>
    <n v="3955"/>
    <m/>
    <m/>
    <m/>
    <m/>
    <m/>
    <m/>
    <m/>
    <m/>
    <n v="0"/>
    <n v="0"/>
    <m/>
    <n v="0"/>
    <n v="0"/>
    <n v="0"/>
    <m/>
    <n v="0"/>
  </r>
  <r>
    <x v="9"/>
    <s v="Western Piedmont Community College "/>
    <n v="199908"/>
    <x v="7"/>
    <s v="sem"/>
    <s v="sem"/>
    <m/>
    <m/>
    <n v="41809.5"/>
    <n v="44250"/>
    <n v="15765.6"/>
    <n v="15420"/>
    <n v="43370.7"/>
    <n v="45660"/>
    <n v="100945.79999999999"/>
    <n v="100945.79999999999"/>
    <n v="2145"/>
    <n v="3364.8599999999997"/>
    <n v="105330"/>
    <n v="105330"/>
    <n v="3447.2999999999997"/>
    <n v="3511"/>
    <m/>
    <m/>
    <m/>
    <m/>
    <m/>
    <m/>
    <m/>
    <m/>
    <n v="0"/>
    <n v="0"/>
    <m/>
    <n v="0"/>
    <n v="0"/>
    <n v="0"/>
    <m/>
    <n v="0"/>
  </r>
  <r>
    <x v="9"/>
    <s v="Wilkes Community College "/>
    <n v="199926"/>
    <x v="7"/>
    <s v="sem"/>
    <s v="sem"/>
    <m/>
    <m/>
    <n v="38071.5"/>
    <n v="37530"/>
    <n v="10803.6"/>
    <n v="10590"/>
    <n v="40681.199999999997"/>
    <n v="42690"/>
    <n v="89556.299999999988"/>
    <n v="89556.299999999988"/>
    <n v="4501.8"/>
    <n v="2985.2099999999996"/>
    <n v="90810"/>
    <n v="90810"/>
    <n v="5128.8"/>
    <n v="3027"/>
    <m/>
    <m/>
    <m/>
    <m/>
    <m/>
    <m/>
    <m/>
    <m/>
    <n v="0"/>
    <n v="0"/>
    <m/>
    <n v="0"/>
    <n v="0"/>
    <n v="0"/>
    <m/>
    <n v="0"/>
  </r>
  <r>
    <x v="9"/>
    <s v="Wilson Technical Community College"/>
    <n v="199953"/>
    <x v="7"/>
    <s v="sem"/>
    <s v="sem"/>
    <m/>
    <m/>
    <n v="29121.3"/>
    <n v="29130"/>
    <n v="15918.9"/>
    <n v="13830"/>
    <n v="27695.4"/>
    <n v="29250"/>
    <n v="72735.600000000006"/>
    <n v="72735.600000000006"/>
    <n v="533.40000000000009"/>
    <n v="2424.52"/>
    <n v="72210"/>
    <n v="72210"/>
    <n v="432.3"/>
    <n v="2407"/>
    <m/>
    <m/>
    <m/>
    <m/>
    <m/>
    <m/>
    <m/>
    <m/>
    <n v="0"/>
    <n v="0"/>
    <m/>
    <n v="0"/>
    <n v="0"/>
    <n v="0"/>
    <m/>
    <n v="0"/>
  </r>
  <r>
    <x v="9"/>
    <s v="Beaufort County Community College "/>
    <n v="197966"/>
    <x v="8"/>
    <s v="sem"/>
    <s v="sem"/>
    <m/>
    <m/>
    <n v="24696.6"/>
    <n v="24690"/>
    <n v="6565.2"/>
    <n v="6810"/>
    <n v="25010.400000000001"/>
    <n v="26880"/>
    <n v="56272.2"/>
    <n v="56272.2"/>
    <n v="2378.4"/>
    <n v="1875.74"/>
    <n v="58380"/>
    <n v="58380"/>
    <n v="2008.1999999999998"/>
    <n v="1946"/>
    <m/>
    <m/>
    <m/>
    <m/>
    <m/>
    <m/>
    <m/>
    <m/>
    <n v="0"/>
    <n v="0"/>
    <m/>
    <n v="0"/>
    <n v="0"/>
    <n v="0"/>
    <m/>
    <n v="0"/>
  </r>
  <r>
    <x v="9"/>
    <s v="Bladen Community College"/>
    <n v="198011"/>
    <x v="8"/>
    <s v="sem"/>
    <s v="sem"/>
    <m/>
    <m/>
    <n v="19965.599999999999"/>
    <n v="20460"/>
    <n v="4088.7"/>
    <n v="4890"/>
    <n v="19961.400000000001"/>
    <n v="21480"/>
    <n v="44015.7"/>
    <n v="44015.7"/>
    <n v="2493.8999999999996"/>
    <n v="1467.1899999999998"/>
    <n v="46830"/>
    <n v="46830"/>
    <n v="2605.2000000000003"/>
    <n v="1561"/>
    <m/>
    <m/>
    <m/>
    <m/>
    <m/>
    <m/>
    <m/>
    <m/>
    <n v="0"/>
    <n v="0"/>
    <m/>
    <n v="0"/>
    <n v="0"/>
    <n v="0"/>
    <m/>
    <n v="0"/>
  </r>
  <r>
    <x v="9"/>
    <s v="Brunswick Community College"/>
    <n v="198084"/>
    <x v="8"/>
    <s v="sem"/>
    <s v="sem"/>
    <m/>
    <m/>
    <n v="20350.5"/>
    <n v="21120"/>
    <n v="4596"/>
    <n v="4920"/>
    <n v="22851"/>
    <n v="23910"/>
    <n v="47797.5"/>
    <n v="47797.5"/>
    <n v="1608.6"/>
    <n v="1593.25"/>
    <n v="49950"/>
    <n v="49950"/>
    <n v="2625.6"/>
    <n v="1665"/>
    <m/>
    <m/>
    <m/>
    <m/>
    <m/>
    <m/>
    <m/>
    <m/>
    <n v="0"/>
    <n v="0"/>
    <m/>
    <n v="0"/>
    <n v="0"/>
    <n v="0"/>
    <m/>
    <n v="0"/>
  </r>
  <r>
    <x v="9"/>
    <s v="Carteret Community College"/>
    <n v="198206"/>
    <x v="8"/>
    <s v="sem"/>
    <s v="sem"/>
    <m/>
    <m/>
    <n v="24235.8"/>
    <n v="24900"/>
    <n v="8898.6"/>
    <n v="9180"/>
    <n v="24967.200000000001"/>
    <n v="25740"/>
    <n v="58101.600000000006"/>
    <n v="58101.600000000006"/>
    <n v="1278"/>
    <n v="1936.7200000000003"/>
    <n v="59820"/>
    <n v="59820"/>
    <n v="1137.6000000000001"/>
    <n v="1994"/>
    <m/>
    <m/>
    <m/>
    <m/>
    <m/>
    <m/>
    <m/>
    <m/>
    <n v="0"/>
    <n v="0"/>
    <m/>
    <n v="0"/>
    <n v="0"/>
    <n v="0"/>
    <m/>
    <n v="0"/>
  </r>
  <r>
    <x v="9"/>
    <s v="Halifax Community College "/>
    <n v="198640"/>
    <x v="8"/>
    <s v="sem"/>
    <s v="sem"/>
    <m/>
    <m/>
    <n v="21766.799999999999"/>
    <n v="22260"/>
    <n v="5042.1000000000004"/>
    <n v="4800"/>
    <n v="22463.7"/>
    <n v="23610"/>
    <n v="49272.600000000006"/>
    <n v="49272.600000000006"/>
    <n v="960"/>
    <n v="1642.4200000000003"/>
    <n v="50670"/>
    <n v="50670"/>
    <n v="1017.3"/>
    <n v="1689"/>
    <m/>
    <m/>
    <m/>
    <m/>
    <m/>
    <m/>
    <m/>
    <m/>
    <n v="0"/>
    <n v="0"/>
    <m/>
    <n v="0"/>
    <n v="0"/>
    <n v="0"/>
    <m/>
    <n v="0"/>
  </r>
  <r>
    <x v="9"/>
    <s v="James Sprunt Community College"/>
    <n v="198729"/>
    <x v="8"/>
    <s v="sem"/>
    <s v="sem"/>
    <m/>
    <m/>
    <n v="19309.2"/>
    <n v="18030"/>
    <n v="4743.3"/>
    <n v="5550"/>
    <n v="19431.599999999999"/>
    <n v="20430"/>
    <n v="43484.1"/>
    <n v="43484.1"/>
    <n v="1989.8999999999999"/>
    <n v="1449.47"/>
    <n v="44010"/>
    <n v="44010"/>
    <n v="2028.8999999999999"/>
    <n v="1467"/>
    <m/>
    <m/>
    <m/>
    <m/>
    <m/>
    <m/>
    <m/>
    <m/>
    <n v="0"/>
    <n v="0"/>
    <m/>
    <n v="0"/>
    <n v="0"/>
    <n v="0"/>
    <m/>
    <n v="0"/>
  </r>
  <r>
    <x v="9"/>
    <s v="Martin Community College "/>
    <n v="198905"/>
    <x v="8"/>
    <s v="sem"/>
    <s v="sem"/>
    <m/>
    <m/>
    <n v="12845.4"/>
    <n v="11100"/>
    <n v="3605.4"/>
    <n v="3900"/>
    <n v="13745.4"/>
    <n v="12180"/>
    <n v="30196.199999999997"/>
    <n v="30196.199999999997"/>
    <n v="2298"/>
    <n v="1006.5399999999998"/>
    <n v="27180"/>
    <n v="27180"/>
    <n v="2074.5"/>
    <n v="906"/>
    <m/>
    <m/>
    <m/>
    <m/>
    <m/>
    <m/>
    <m/>
    <m/>
    <n v="0"/>
    <n v="0"/>
    <m/>
    <n v="0"/>
    <n v="0"/>
    <n v="0"/>
    <m/>
    <n v="0"/>
  </r>
  <r>
    <x v="9"/>
    <s v="McDowell Technical Community College"/>
    <n v="198923"/>
    <x v="8"/>
    <s v="sem"/>
    <s v="sem"/>
    <m/>
    <m/>
    <n v="18022.5"/>
    <n v="17790"/>
    <n v="7836.6"/>
    <n v="7470"/>
    <n v="16310.1"/>
    <n v="20580"/>
    <n v="42169.2"/>
    <n v="42169.2"/>
    <n v="1836.6"/>
    <n v="1405.6399999999999"/>
    <n v="45840"/>
    <n v="45840"/>
    <n v="1922.7"/>
    <n v="1528"/>
    <m/>
    <m/>
    <m/>
    <m/>
    <m/>
    <m/>
    <m/>
    <m/>
    <n v="0"/>
    <n v="0"/>
    <m/>
    <n v="0"/>
    <n v="0"/>
    <n v="0"/>
    <m/>
    <n v="0"/>
  </r>
  <r>
    <x v="9"/>
    <s v="Montgomery Community College"/>
    <n v="199023"/>
    <x v="8"/>
    <s v="sem"/>
    <s v="sem"/>
    <m/>
    <m/>
    <n v="14004.3"/>
    <n v="14190"/>
    <n v="4826.7"/>
    <n v="4590"/>
    <n v="15203.4"/>
    <n v="14790"/>
    <n v="34034.400000000001"/>
    <n v="34034.400000000001"/>
    <n v="939.9"/>
    <n v="1134.48"/>
    <n v="33570"/>
    <n v="33570"/>
    <n v="594.29999999999995"/>
    <n v="1119"/>
    <m/>
    <m/>
    <m/>
    <m/>
    <m/>
    <m/>
    <m/>
    <m/>
    <n v="0"/>
    <n v="0"/>
    <m/>
    <n v="0"/>
    <n v="0"/>
    <n v="0"/>
    <m/>
    <n v="0"/>
  </r>
  <r>
    <x v="9"/>
    <s v="Pamlico Community College"/>
    <n v="199263"/>
    <x v="8"/>
    <s v="sem"/>
    <s v="sem"/>
    <m/>
    <m/>
    <n v="7357.2"/>
    <n v="7170"/>
    <n v="2593.1999999999998"/>
    <n v="2460"/>
    <n v="7427.7"/>
    <n v="8310"/>
    <n v="17378.099999999999"/>
    <n v="17378.099999999999"/>
    <n v="1413.9"/>
    <n v="579.27"/>
    <n v="17940"/>
    <n v="17940"/>
    <n v="763.2"/>
    <n v="598"/>
    <m/>
    <m/>
    <m/>
    <m/>
    <m/>
    <m/>
    <m/>
    <m/>
    <n v="0"/>
    <n v="0"/>
    <m/>
    <n v="0"/>
    <n v="0"/>
    <n v="0"/>
    <m/>
    <n v="0"/>
  </r>
  <r>
    <x v="9"/>
    <s v="Roanoke-Chowan Community College"/>
    <n v="199467"/>
    <x v="8"/>
    <s v="sem"/>
    <s v="sem"/>
    <m/>
    <m/>
    <n v="12621.6"/>
    <n v="11940"/>
    <n v="2696.4"/>
    <n v="2490"/>
    <n v="13301.4"/>
    <n v="14610"/>
    <n v="28619.4"/>
    <n v="28619.4"/>
    <n v="841.8"/>
    <n v="953.98"/>
    <n v="29040"/>
    <n v="29040"/>
    <n v="1226.4000000000001"/>
    <n v="968"/>
    <m/>
    <m/>
    <m/>
    <m/>
    <m/>
    <m/>
    <m/>
    <m/>
    <n v="0"/>
    <n v="0"/>
    <m/>
    <n v="0"/>
    <n v="0"/>
    <n v="0"/>
    <m/>
    <n v="0"/>
  </r>
  <r>
    <x v="9"/>
    <s v="Sampson Community College"/>
    <n v="199625"/>
    <x v="8"/>
    <s v="sem"/>
    <s v="sem"/>
    <m/>
    <m/>
    <n v="21009.9"/>
    <n v="22050"/>
    <n v="8714.7000000000007"/>
    <n v="8490"/>
    <n v="24522.9"/>
    <n v="26940"/>
    <n v="54247.5"/>
    <n v="54247.5"/>
    <n v="2409.9"/>
    <n v="1808.25"/>
    <n v="57480"/>
    <n v="57480"/>
    <n v="2743.2"/>
    <n v="1916"/>
    <m/>
    <m/>
    <m/>
    <m/>
    <m/>
    <m/>
    <m/>
    <m/>
    <n v="0"/>
    <n v="0"/>
    <m/>
    <n v="0"/>
    <n v="0"/>
    <n v="0"/>
    <m/>
    <n v="0"/>
  </r>
  <r>
    <x v="9"/>
    <s v="Tri-County Community College "/>
    <n v="199795"/>
    <x v="8"/>
    <s v="sem"/>
    <s v="sem"/>
    <m/>
    <m/>
    <n v="16084.5"/>
    <n v="14100"/>
    <n v="5442.6"/>
    <n v="4590"/>
    <n v="16172.1"/>
    <n v="16110"/>
    <n v="37699.199999999997"/>
    <n v="37699.199999999997"/>
    <n v="3341.3999999999996"/>
    <n v="1256.6399999999999"/>
    <n v="34800"/>
    <n v="34800"/>
    <n v="4027.7999999999997"/>
    <n v="1160"/>
    <m/>
    <m/>
    <m/>
    <m/>
    <m/>
    <m/>
    <m/>
    <m/>
    <n v="0"/>
    <n v="0"/>
    <m/>
    <n v="0"/>
    <n v="0"/>
    <n v="0"/>
    <m/>
    <n v="0"/>
  </r>
  <r>
    <x v="10"/>
    <s v="Oklahoma State University Main Campus"/>
    <n v="207388"/>
    <x v="0"/>
    <s v="sem"/>
    <s v="sem"/>
    <m/>
    <m/>
    <n v="233495"/>
    <n v="229086"/>
    <n v="29195"/>
    <n v="29807"/>
    <n v="247096"/>
    <n v="242557"/>
    <n v="509786"/>
    <n v="509786"/>
    <n v="790"/>
    <n v="16992.866666666665"/>
    <n v="501450"/>
    <n v="501450"/>
    <n v="989"/>
    <n v="16715"/>
    <m/>
    <m/>
    <m/>
    <m/>
    <m/>
    <m/>
    <m/>
    <m/>
    <n v="0"/>
    <n v="0"/>
    <m/>
    <n v="0"/>
    <n v="0"/>
    <n v="0"/>
    <m/>
    <n v="0"/>
  </r>
  <r>
    <x v="10"/>
    <s v="University of Oklahoma Norman Campus"/>
    <n v="207500"/>
    <x v="0"/>
    <s v="sem"/>
    <s v="sem"/>
    <m/>
    <m/>
    <n v="252239"/>
    <n v="253520"/>
    <n v="32486"/>
    <n v="32732"/>
    <n v="275348"/>
    <n v="275747"/>
    <n v="560073"/>
    <n v="560073"/>
    <n v="322"/>
    <n v="18669.099999999999"/>
    <n v="561999"/>
    <n v="561999"/>
    <n v="336"/>
    <n v="18733.3"/>
    <m/>
    <m/>
    <m/>
    <m/>
    <m/>
    <m/>
    <m/>
    <m/>
    <n v="0"/>
    <n v="0"/>
    <m/>
    <n v="0"/>
    <n v="0"/>
    <n v="0"/>
    <m/>
    <n v="0"/>
  </r>
  <r>
    <x v="10"/>
    <s v="Northeastern State University"/>
    <n v="207263"/>
    <x v="2"/>
    <s v="sem"/>
    <s v="sem"/>
    <m/>
    <m/>
    <n v="92744"/>
    <n v="90263"/>
    <n v="14271"/>
    <n v="15324"/>
    <n v="99809"/>
    <n v="92752"/>
    <n v="206824"/>
    <n v="206824"/>
    <n v="874"/>
    <n v="6894.1333333333332"/>
    <n v="198339"/>
    <n v="198339"/>
    <n v="983"/>
    <n v="6611.3"/>
    <m/>
    <m/>
    <m/>
    <m/>
    <m/>
    <m/>
    <m/>
    <m/>
    <n v="0"/>
    <n v="0"/>
    <m/>
    <n v="0"/>
    <n v="0"/>
    <n v="0"/>
    <m/>
    <n v="0"/>
  </r>
  <r>
    <x v="10"/>
    <s v="University of Central Oklahoma"/>
    <n v="206941"/>
    <x v="2"/>
    <s v="sem"/>
    <s v="sem"/>
    <m/>
    <m/>
    <n v="136558"/>
    <n v="135993"/>
    <n v="20852"/>
    <n v="22675"/>
    <n v="167324"/>
    <n v="149369"/>
    <n v="324734"/>
    <n v="324734"/>
    <n v="2291"/>
    <n v="10824.466666666667"/>
    <n v="308037"/>
    <n v="308037"/>
    <n v="2279"/>
    <n v="10267.9"/>
    <m/>
    <m/>
    <m/>
    <m/>
    <m/>
    <m/>
    <m/>
    <m/>
    <n v="0"/>
    <n v="0"/>
    <m/>
    <n v="0"/>
    <n v="0"/>
    <n v="0"/>
    <m/>
    <n v="0"/>
  </r>
  <r>
    <x v="10"/>
    <s v="Cameron University "/>
    <n v="206914"/>
    <x v="4"/>
    <s v="sem"/>
    <s v="sem"/>
    <m/>
    <m/>
    <n v="53470"/>
    <n v="51587"/>
    <n v="11777"/>
    <n v="11580"/>
    <n v="54868"/>
    <n v="55018"/>
    <n v="120115"/>
    <n v="120115"/>
    <n v="1519"/>
    <n v="4003.8333333333335"/>
    <n v="118185"/>
    <n v="118185"/>
    <n v="1612"/>
    <n v="3939.5"/>
    <m/>
    <m/>
    <m/>
    <m/>
    <m/>
    <m/>
    <m/>
    <m/>
    <n v="0"/>
    <n v="0"/>
    <m/>
    <n v="0"/>
    <n v="0"/>
    <n v="0"/>
    <m/>
    <n v="0"/>
  </r>
  <r>
    <x v="10"/>
    <s v="East Central University "/>
    <n v="207041"/>
    <x v="4"/>
    <s v="sem"/>
    <s v="sem"/>
    <m/>
    <m/>
    <n v="44318"/>
    <n v="43116"/>
    <n v="7462"/>
    <n v="7688"/>
    <n v="46663"/>
    <n v="45362"/>
    <n v="98443"/>
    <n v="98443"/>
    <n v="393"/>
    <n v="3281.4333333333334"/>
    <n v="96166"/>
    <n v="96166"/>
    <n v="384"/>
    <n v="3205.5333333333333"/>
    <m/>
    <m/>
    <m/>
    <m/>
    <m/>
    <m/>
    <m/>
    <m/>
    <n v="0"/>
    <n v="0"/>
    <m/>
    <n v="0"/>
    <n v="0"/>
    <n v="0"/>
    <m/>
    <n v="0"/>
  </r>
  <r>
    <x v="10"/>
    <s v="Langston University"/>
    <n v="207209"/>
    <x v="4"/>
    <s v="sem"/>
    <s v="sem"/>
    <m/>
    <m/>
    <n v="31066"/>
    <n v="29605"/>
    <n v="4102"/>
    <n v="4235"/>
    <n v="32813"/>
    <n v="32351"/>
    <n v="67981"/>
    <n v="67981"/>
    <n v="0"/>
    <n v="2266.0333333333333"/>
    <n v="66191"/>
    <n v="66191"/>
    <n v="0"/>
    <n v="2206.3666666666668"/>
    <m/>
    <m/>
    <m/>
    <m/>
    <m/>
    <m/>
    <m/>
    <m/>
    <n v="0"/>
    <n v="0"/>
    <m/>
    <n v="0"/>
    <n v="0"/>
    <n v="0"/>
    <m/>
    <n v="0"/>
  </r>
  <r>
    <x v="10"/>
    <s v="Northwestern Oklahoma State University "/>
    <n v="207306"/>
    <x v="4"/>
    <s v="sem"/>
    <s v="sem"/>
    <m/>
    <m/>
    <n v="20725"/>
    <n v="21035"/>
    <n v="3424"/>
    <n v="3732"/>
    <n v="22500"/>
    <n v="22838"/>
    <n v="46649"/>
    <n v="46649"/>
    <n v="525"/>
    <n v="1554.9666666666667"/>
    <n v="47605"/>
    <n v="47605"/>
    <n v="461"/>
    <n v="1586.8333333333333"/>
    <m/>
    <m/>
    <m/>
    <m/>
    <m/>
    <m/>
    <m/>
    <m/>
    <n v="0"/>
    <n v="0"/>
    <m/>
    <n v="0"/>
    <n v="0"/>
    <n v="0"/>
    <m/>
    <n v="0"/>
  </r>
  <r>
    <x v="10"/>
    <s v="Southeastern Oklahoma State University "/>
    <n v="207847"/>
    <x v="4"/>
    <s v="sem"/>
    <s v="sem"/>
    <m/>
    <m/>
    <n v="39505"/>
    <n v="39183"/>
    <n v="8747"/>
    <n v="7890"/>
    <n v="44447"/>
    <n v="43124"/>
    <n v="92699"/>
    <n v="92699"/>
    <n v="1157"/>
    <n v="3089.9666666666667"/>
    <n v="90197"/>
    <n v="90197"/>
    <n v="1496"/>
    <n v="3006.5666666666666"/>
    <m/>
    <m/>
    <m/>
    <m/>
    <m/>
    <m/>
    <m/>
    <m/>
    <n v="0"/>
    <n v="0"/>
    <m/>
    <n v="0"/>
    <n v="0"/>
    <n v="0"/>
    <m/>
    <n v="0"/>
  </r>
  <r>
    <x v="10"/>
    <s v="Southwestern Oklahoma State University"/>
    <n v="207865"/>
    <x v="4"/>
    <s v="sem"/>
    <s v="sem"/>
    <m/>
    <m/>
    <n v="51540"/>
    <n v="50107"/>
    <n v="7412"/>
    <n v="6480"/>
    <n v="55841"/>
    <n v="53736"/>
    <n v="114793"/>
    <n v="114793"/>
    <n v="1332"/>
    <n v="3826.4333333333334"/>
    <n v="110323"/>
    <n v="110323"/>
    <n v="1235"/>
    <n v="3677.4333333333334"/>
    <m/>
    <m/>
    <m/>
    <m/>
    <m/>
    <m/>
    <m/>
    <m/>
    <n v="0"/>
    <n v="0"/>
    <m/>
    <n v="0"/>
    <n v="0"/>
    <n v="0"/>
    <m/>
    <n v="0"/>
  </r>
  <r>
    <x v="10"/>
    <s v="Oklahoma Panhandle State University "/>
    <n v="207351"/>
    <x v="5"/>
    <s v="sem"/>
    <s v="sem"/>
    <m/>
    <m/>
    <n v="13524"/>
    <n v="14277"/>
    <n v="1722"/>
    <n v="1625"/>
    <n v="15615"/>
    <n v="16370"/>
    <n v="30861"/>
    <n v="30861"/>
    <n v="354"/>
    <n v="1028.7"/>
    <n v="32272"/>
    <n v="32272"/>
    <n v="402"/>
    <n v="1075.7333333333333"/>
    <m/>
    <m/>
    <m/>
    <m/>
    <m/>
    <m/>
    <m/>
    <m/>
    <n v="0"/>
    <n v="0"/>
    <m/>
    <n v="0"/>
    <n v="0"/>
    <n v="0"/>
    <m/>
    <n v="0"/>
  </r>
  <r>
    <x v="10"/>
    <s v="Rogers State University"/>
    <n v="207661"/>
    <x v="5"/>
    <s v="sem"/>
    <s v="sem"/>
    <m/>
    <m/>
    <n v="35587"/>
    <n v="37236"/>
    <n v="6478"/>
    <n v="5731"/>
    <n v="41943"/>
    <n v="41591"/>
    <n v="84008"/>
    <n v="84008"/>
    <n v="2230"/>
    <n v="2800.2666666666669"/>
    <n v="84558"/>
    <n v="84558"/>
    <n v="1908"/>
    <n v="2818.6"/>
    <m/>
    <m/>
    <m/>
    <m/>
    <m/>
    <m/>
    <m/>
    <m/>
    <n v="0"/>
    <n v="0"/>
    <m/>
    <n v="0"/>
    <n v="0"/>
    <n v="0"/>
    <m/>
    <n v="0"/>
  </r>
  <r>
    <x v="10"/>
    <s v="University of Science and Arts of Oklahoma"/>
    <n v="207722"/>
    <x v="5"/>
    <s v="sem"/>
    <s v="sem"/>
    <m/>
    <m/>
    <n v="14049"/>
    <n v="13302"/>
    <n v="5095"/>
    <n v="4685"/>
    <n v="14921"/>
    <n v="14293"/>
    <n v="34065"/>
    <n v="34065"/>
    <n v="147"/>
    <n v="1135.5"/>
    <n v="32280"/>
    <n v="32280"/>
    <n v="109"/>
    <n v="1076"/>
    <m/>
    <m/>
    <m/>
    <m/>
    <m/>
    <m/>
    <m/>
    <m/>
    <n v="0"/>
    <n v="0"/>
    <m/>
    <n v="0"/>
    <n v="0"/>
    <n v="0"/>
    <m/>
    <n v="0"/>
  </r>
  <r>
    <x v="10"/>
    <s v="Oklahoma State University Technical Branch-Okmulgee "/>
    <n v="207564"/>
    <x v="12"/>
    <s v="sem"/>
    <s v="sem"/>
    <m/>
    <m/>
    <n v="30986"/>
    <n v="32737"/>
    <n v="17256"/>
    <n v="18274"/>
    <n v="31847"/>
    <n v="37057"/>
    <n v="80089"/>
    <n v="80089"/>
    <n v="1232"/>
    <n v="2669.6333333333332"/>
    <n v="88068"/>
    <n v="88068"/>
    <n v="1054"/>
    <n v="2935.6"/>
    <m/>
    <m/>
    <m/>
    <m/>
    <m/>
    <m/>
    <m/>
    <m/>
    <n v="0"/>
    <n v="0"/>
    <m/>
    <n v="0"/>
    <n v="0"/>
    <n v="0"/>
    <m/>
    <n v="0"/>
  </r>
  <r>
    <x v="10"/>
    <s v="Oklahoma City Community College "/>
    <n v="207449"/>
    <x v="6"/>
    <s v="sem"/>
    <s v="sem"/>
    <m/>
    <m/>
    <n v="103405"/>
    <n v="102791"/>
    <n v="27238"/>
    <n v="26856"/>
    <n v="109888"/>
    <n v="108830"/>
    <n v="240531"/>
    <n v="240531"/>
    <n v="3044"/>
    <n v="8017.7"/>
    <n v="238477"/>
    <n v="238477"/>
    <n v="5154"/>
    <n v="7949.2333333333336"/>
    <m/>
    <m/>
    <m/>
    <m/>
    <m/>
    <m/>
    <m/>
    <m/>
    <n v="0"/>
    <n v="0"/>
    <m/>
    <n v="0"/>
    <n v="0"/>
    <n v="0"/>
    <m/>
    <n v="0"/>
  </r>
  <r>
    <x v="10"/>
    <s v="Tulsa Community College "/>
    <n v="207935"/>
    <x v="6"/>
    <s v="sem"/>
    <s v="sem"/>
    <m/>
    <m/>
    <n v="131840"/>
    <n v="138326"/>
    <n v="44249"/>
    <n v="46432"/>
    <n v="143016"/>
    <n v="156006"/>
    <n v="319105"/>
    <n v="319105"/>
    <n v="6748"/>
    <n v="10636.833333333334"/>
    <n v="340764"/>
    <n v="340764"/>
    <n v="7779"/>
    <n v="11358.8"/>
    <m/>
    <m/>
    <m/>
    <m/>
    <m/>
    <m/>
    <m/>
    <m/>
    <n v="0"/>
    <n v="0"/>
    <m/>
    <n v="0"/>
    <n v="0"/>
    <n v="0"/>
    <m/>
    <n v="0"/>
  </r>
  <r>
    <x v="10"/>
    <s v="Northern Oklahoma College "/>
    <n v="207281"/>
    <x v="7"/>
    <s v="sem"/>
    <s v="sem"/>
    <m/>
    <m/>
    <n v="49233"/>
    <n v="46965"/>
    <n v="7124"/>
    <n v="7745"/>
    <n v="48256"/>
    <n v="49507"/>
    <n v="104613"/>
    <n v="104613"/>
    <n v="3113"/>
    <n v="3487.1"/>
    <n v="104217"/>
    <n v="104217"/>
    <n v="3178"/>
    <n v="3473.9"/>
    <m/>
    <m/>
    <m/>
    <m/>
    <m/>
    <m/>
    <m/>
    <m/>
    <n v="0"/>
    <n v="0"/>
    <m/>
    <n v="0"/>
    <n v="0"/>
    <n v="0"/>
    <m/>
    <n v="0"/>
  </r>
  <r>
    <x v="10"/>
    <s v="Oklahoma State University-Oklahoma City "/>
    <n v="207397"/>
    <x v="7"/>
    <s v="sem"/>
    <s v="sem"/>
    <m/>
    <m/>
    <n v="47458"/>
    <n v="48008"/>
    <n v="13166"/>
    <n v="13440"/>
    <n v="50418"/>
    <n v="51716"/>
    <n v="111042"/>
    <n v="111042"/>
    <n v="3288"/>
    <n v="3701.4"/>
    <n v="113164"/>
    <n v="113164"/>
    <n v="1454"/>
    <n v="3772.1333333333332"/>
    <m/>
    <m/>
    <m/>
    <m/>
    <m/>
    <m/>
    <m/>
    <m/>
    <n v="0"/>
    <n v="0"/>
    <m/>
    <n v="0"/>
    <n v="0"/>
    <n v="0"/>
    <m/>
    <n v="0"/>
  </r>
  <r>
    <x v="10"/>
    <s v="Rose State College "/>
    <n v="207670"/>
    <x v="7"/>
    <s v="sem"/>
    <s v="sem"/>
    <m/>
    <m/>
    <n v="62092"/>
    <n v="59638"/>
    <n v="14933"/>
    <n v="14675"/>
    <n v="69259"/>
    <n v="65638"/>
    <n v="146284"/>
    <n v="146284"/>
    <n v="2454"/>
    <n v="4876.1333333333332"/>
    <n v="139951"/>
    <n v="139951"/>
    <n v="2830"/>
    <n v="4665.0333333333338"/>
    <m/>
    <m/>
    <m/>
    <m/>
    <m/>
    <m/>
    <m/>
    <m/>
    <n v="0"/>
    <n v="0"/>
    <m/>
    <n v="0"/>
    <n v="0"/>
    <n v="0"/>
    <m/>
    <n v="0"/>
  </r>
  <r>
    <x v="10"/>
    <s v="Carl Albert State College"/>
    <n v="206923"/>
    <x v="8"/>
    <s v="sem"/>
    <s v="sem"/>
    <m/>
    <m/>
    <n v="23946"/>
    <n v="23423"/>
    <n v="4716"/>
    <n v="4627"/>
    <n v="25631"/>
    <n v="25544"/>
    <n v="54293"/>
    <n v="54293"/>
    <n v="1741"/>
    <n v="1809.7666666666667"/>
    <n v="53594"/>
    <n v="53594"/>
    <n v="422"/>
    <n v="1786.4666666666667"/>
    <m/>
    <m/>
    <m/>
    <m/>
    <m/>
    <m/>
    <m/>
    <m/>
    <n v="0"/>
    <n v="0"/>
    <m/>
    <n v="0"/>
    <n v="0"/>
    <n v="0"/>
    <m/>
    <n v="0"/>
  </r>
  <r>
    <x v="10"/>
    <s v="Connors State College "/>
    <n v="206996"/>
    <x v="8"/>
    <s v="sem"/>
    <s v="sem"/>
    <m/>
    <m/>
    <n v="20494"/>
    <n v="21306"/>
    <n v="4186"/>
    <n v="3849"/>
    <n v="24703"/>
    <n v="24410"/>
    <n v="49383"/>
    <n v="49383"/>
    <n v="1237"/>
    <n v="1646.1"/>
    <n v="49565"/>
    <n v="49565"/>
    <n v="1269"/>
    <n v="1652.1666666666667"/>
    <m/>
    <m/>
    <m/>
    <m/>
    <m/>
    <m/>
    <m/>
    <m/>
    <n v="0"/>
    <n v="0"/>
    <m/>
    <n v="0"/>
    <n v="0"/>
    <n v="0"/>
    <m/>
    <n v="0"/>
  </r>
  <r>
    <x v="10"/>
    <s v="Eastern Oklahoma State College "/>
    <n v="207050"/>
    <x v="8"/>
    <s v="sem"/>
    <s v="sem"/>
    <m/>
    <m/>
    <n v="16959"/>
    <n v="17075"/>
    <n v="2627"/>
    <n v="3031"/>
    <n v="18645"/>
    <n v="19289"/>
    <n v="38231"/>
    <n v="38231"/>
    <n v="1193"/>
    <n v="1274.3666666666666"/>
    <n v="39395"/>
    <n v="39395"/>
    <n v="1203"/>
    <n v="1313.1666666666667"/>
    <m/>
    <m/>
    <m/>
    <m/>
    <m/>
    <m/>
    <m/>
    <m/>
    <n v="0"/>
    <n v="0"/>
    <m/>
    <n v="0"/>
    <n v="0"/>
    <n v="0"/>
    <m/>
    <n v="0"/>
  </r>
  <r>
    <x v="10"/>
    <s v="Murray State College "/>
    <n v="207236"/>
    <x v="8"/>
    <s v="sem"/>
    <s v="sem"/>
    <m/>
    <m/>
    <n v="22936"/>
    <n v="23182"/>
    <n v="3764"/>
    <n v="3683"/>
    <n v="22275"/>
    <n v="24045"/>
    <n v="48975"/>
    <n v="48975"/>
    <n v="2551"/>
    <n v="1632.5"/>
    <n v="50910"/>
    <n v="50910"/>
    <n v="3003"/>
    <n v="1697"/>
    <m/>
    <m/>
    <m/>
    <m/>
    <m/>
    <m/>
    <m/>
    <m/>
    <n v="0"/>
    <n v="0"/>
    <m/>
    <n v="0"/>
    <n v="0"/>
    <n v="0"/>
    <m/>
    <n v="0"/>
  </r>
  <r>
    <x v="10"/>
    <s v="Northeastern Oklahoma A &amp; M College "/>
    <n v="207290"/>
    <x v="8"/>
    <s v="sem"/>
    <s v="sem"/>
    <m/>
    <m/>
    <n v="20664"/>
    <n v="19302"/>
    <m/>
    <n v="3161"/>
    <n v="23942"/>
    <n v="23052"/>
    <n v="44606"/>
    <n v="44606"/>
    <n v="1029"/>
    <n v="1486.8666666666666"/>
    <n v="45515"/>
    <n v="45515"/>
    <n v="1056"/>
    <n v="1517.1666666666667"/>
    <m/>
    <m/>
    <m/>
    <m/>
    <m/>
    <m/>
    <m/>
    <m/>
    <n v="0"/>
    <n v="0"/>
    <m/>
    <n v="0"/>
    <n v="0"/>
    <n v="0"/>
    <m/>
    <n v="0"/>
  </r>
  <r>
    <x v="10"/>
    <s v="Redlands Community College"/>
    <n v="207069"/>
    <x v="8"/>
    <s v="sem"/>
    <s v="sem"/>
    <m/>
    <m/>
    <n v="18709"/>
    <n v="18306"/>
    <n v="4093"/>
    <n v="3829"/>
    <n v="20683"/>
    <n v="20265"/>
    <n v="43485"/>
    <n v="43485"/>
    <n v="3975"/>
    <n v="1449.5"/>
    <n v="42400"/>
    <n v="42400"/>
    <n v="5384"/>
    <n v="1413.3333333333333"/>
    <m/>
    <m/>
    <m/>
    <m/>
    <m/>
    <m/>
    <m/>
    <m/>
    <n v="0"/>
    <n v="0"/>
    <m/>
    <n v="0"/>
    <n v="0"/>
    <n v="0"/>
    <m/>
    <n v="0"/>
  </r>
  <r>
    <x v="10"/>
    <s v="Seminole State College "/>
    <n v="207740"/>
    <x v="8"/>
    <s v="sem"/>
    <s v="sem"/>
    <m/>
    <m/>
    <n v="18891"/>
    <n v="18523"/>
    <n v="3219"/>
    <n v="2924"/>
    <n v="19245"/>
    <n v="21181"/>
    <n v="41355"/>
    <n v="41355"/>
    <n v="1367"/>
    <n v="1378.5"/>
    <n v="42628"/>
    <n v="42628"/>
    <n v="1634"/>
    <n v="1420.9333333333334"/>
    <m/>
    <m/>
    <m/>
    <m/>
    <m/>
    <m/>
    <m/>
    <m/>
    <n v="0"/>
    <n v="0"/>
    <m/>
    <n v="0"/>
    <n v="0"/>
    <n v="0"/>
    <m/>
    <n v="0"/>
  </r>
  <r>
    <x v="10"/>
    <s v="Western Oklahoma State College "/>
    <n v="208035"/>
    <x v="8"/>
    <s v="sem"/>
    <s v="sem"/>
    <m/>
    <m/>
    <n v="16139"/>
    <n v="15299"/>
    <n v="3814"/>
    <n v="3068"/>
    <n v="14522"/>
    <n v="19849"/>
    <n v="34475"/>
    <n v="34475"/>
    <n v="1281"/>
    <n v="1149.1666666666667"/>
    <n v="38216"/>
    <n v="38216"/>
    <n v="1397"/>
    <n v="1273.8666666666666"/>
    <m/>
    <m/>
    <m/>
    <m/>
    <m/>
    <m/>
    <m/>
    <m/>
    <n v="0"/>
    <n v="0"/>
    <m/>
    <n v="0"/>
    <n v="0"/>
    <n v="0"/>
    <m/>
    <n v="0"/>
  </r>
  <r>
    <x v="10"/>
    <s v="Francis Tuttle Technology Center                  "/>
    <n v="245999"/>
    <x v="9"/>
    <s v="sem"/>
    <s v="sem"/>
    <m/>
    <m/>
    <m/>
    <m/>
    <m/>
    <m/>
    <m/>
    <m/>
    <n v="0"/>
    <n v="0"/>
    <m/>
    <n v="0"/>
    <n v="0"/>
    <n v="0"/>
    <m/>
    <n v="0"/>
    <m/>
    <m/>
    <m/>
    <m/>
    <m/>
    <m/>
    <n v="1802964.82"/>
    <n v="1856749.05"/>
    <n v="1802964.82"/>
    <n v="0"/>
    <s v="—"/>
    <n v="2003.2942444444445"/>
    <n v="1856749.05"/>
    <n v="0"/>
    <s v="—"/>
    <n v="2063.0545000000002"/>
  </r>
  <r>
    <x v="10"/>
    <s v="Great Plains Technology Center                    "/>
    <n v="364548"/>
    <x v="9"/>
    <s v="sem"/>
    <s v="sem"/>
    <m/>
    <m/>
    <m/>
    <m/>
    <m/>
    <m/>
    <m/>
    <m/>
    <n v="0"/>
    <n v="0"/>
    <m/>
    <n v="0"/>
    <n v="0"/>
    <n v="0"/>
    <m/>
    <n v="0"/>
    <m/>
    <m/>
    <m/>
    <m/>
    <m/>
    <m/>
    <n v="1009352.18"/>
    <n v="946199.4"/>
    <n v="1009352.18"/>
    <n v="0"/>
    <s v="—"/>
    <n v="1121.5024222222223"/>
    <n v="946199.4"/>
    <n v="0"/>
    <s v="—"/>
    <n v="1051.3326666666667"/>
  </r>
  <r>
    <x v="10"/>
    <s v="Metro Technology Centers                          "/>
    <n v="363165"/>
    <x v="9"/>
    <s v="sem"/>
    <s v="sem"/>
    <m/>
    <m/>
    <m/>
    <m/>
    <m/>
    <m/>
    <m/>
    <m/>
    <n v="0"/>
    <n v="0"/>
    <m/>
    <n v="0"/>
    <n v="0"/>
    <n v="0"/>
    <m/>
    <n v="0"/>
    <m/>
    <m/>
    <m/>
    <m/>
    <m/>
    <m/>
    <n v="1413286.5"/>
    <n v="1385602.75"/>
    <n v="1413286.5"/>
    <n v="0"/>
    <s v="—"/>
    <n v="1570.3183333333334"/>
    <n v="1385602.75"/>
    <n v="0"/>
    <s v="—"/>
    <n v="1539.5586111111111"/>
  </r>
  <r>
    <x v="10"/>
    <s v="Moore Norman Technology Center                    "/>
    <n v="248606"/>
    <x v="9"/>
    <s v="sem"/>
    <s v="sem"/>
    <m/>
    <m/>
    <m/>
    <m/>
    <m/>
    <m/>
    <m/>
    <m/>
    <n v="0"/>
    <n v="0"/>
    <m/>
    <n v="0"/>
    <n v="0"/>
    <n v="0"/>
    <m/>
    <n v="0"/>
    <m/>
    <m/>
    <m/>
    <m/>
    <m/>
    <m/>
    <n v="887113.09"/>
    <n v="882600.57"/>
    <n v="887113.09"/>
    <n v="0"/>
    <s v="—"/>
    <n v="985.68121111111111"/>
    <n v="882600.57"/>
    <n v="0"/>
    <s v="—"/>
    <n v="980.66729999999995"/>
  </r>
  <r>
    <x v="10"/>
    <s v="Tulsa Technology Center-Broken Arrow Campus       "/>
    <n v="261393"/>
    <x v="9"/>
    <s v="sem"/>
    <s v="sem"/>
    <m/>
    <m/>
    <m/>
    <m/>
    <m/>
    <m/>
    <m/>
    <m/>
    <n v="0"/>
    <n v="0"/>
    <m/>
    <n v="0"/>
    <n v="0"/>
    <n v="0"/>
    <m/>
    <n v="0"/>
    <m/>
    <m/>
    <m/>
    <m/>
    <m/>
    <m/>
    <n v="1169688.75"/>
    <n v="972189.6"/>
    <n v="1169688.75"/>
    <n v="0"/>
    <s v="—"/>
    <n v="1299.6541666666667"/>
    <n v="972189.6"/>
    <n v="0"/>
    <s v="—"/>
    <n v="1080.2106666666666"/>
  </r>
  <r>
    <x v="10"/>
    <s v="Autry Technology Center                           "/>
    <n v="365213"/>
    <x v="10"/>
    <s v="sem"/>
    <s v="sem"/>
    <m/>
    <m/>
    <m/>
    <m/>
    <m/>
    <m/>
    <m/>
    <m/>
    <n v="0"/>
    <n v="0"/>
    <m/>
    <n v="0"/>
    <n v="0"/>
    <n v="0"/>
    <m/>
    <n v="0"/>
    <m/>
    <m/>
    <m/>
    <m/>
    <m/>
    <m/>
    <n v="483507.75"/>
    <n v="489328.79"/>
    <n v="483507.75"/>
    <n v="0"/>
    <s v="—"/>
    <n v="537.23083333333329"/>
    <n v="489328.79"/>
    <n v="0"/>
    <s v="—"/>
    <n v="543.69865555555555"/>
  </r>
  <r>
    <x v="10"/>
    <s v="Caddo Kiowa Technology Center                     "/>
    <n v="364946"/>
    <x v="10"/>
    <s v="sem"/>
    <s v="sem"/>
    <m/>
    <m/>
    <m/>
    <m/>
    <m/>
    <m/>
    <m/>
    <m/>
    <n v="0"/>
    <n v="0"/>
    <m/>
    <n v="0"/>
    <n v="0"/>
    <n v="0"/>
    <m/>
    <n v="0"/>
    <m/>
    <m/>
    <m/>
    <m/>
    <m/>
    <m/>
    <n v="402438.5"/>
    <n v="389053.5"/>
    <n v="402438.5"/>
    <n v="0"/>
    <s v="—"/>
    <n v="447.1538888888889"/>
    <n v="389053.5"/>
    <n v="0"/>
    <s v="—"/>
    <n v="432.28166666666669"/>
  </r>
  <r>
    <x v="10"/>
    <s v="Canadian Valley Technology Center                 "/>
    <n v="365374"/>
    <x v="10"/>
    <s v="sem"/>
    <s v="sem"/>
    <m/>
    <m/>
    <m/>
    <m/>
    <m/>
    <m/>
    <m/>
    <m/>
    <n v="0"/>
    <n v="0"/>
    <m/>
    <n v="0"/>
    <n v="0"/>
    <n v="0"/>
    <m/>
    <n v="0"/>
    <m/>
    <m/>
    <m/>
    <m/>
    <m/>
    <m/>
    <n v="905297.85"/>
    <n v="955036.96"/>
    <n v="905297.85"/>
    <n v="0"/>
    <s v="—"/>
    <n v="1005.8865"/>
    <n v="955036.96"/>
    <n v="0"/>
    <s v="—"/>
    <n v="1061.1521777777778"/>
  </r>
  <r>
    <x v="10"/>
    <s v="Central Technology Center                         "/>
    <n v="246017"/>
    <x v="10"/>
    <s v="sem"/>
    <s v="sem"/>
    <m/>
    <m/>
    <m/>
    <m/>
    <m/>
    <m/>
    <m/>
    <m/>
    <n v="0"/>
    <n v="0"/>
    <m/>
    <n v="0"/>
    <n v="0"/>
    <n v="0"/>
    <m/>
    <n v="0"/>
    <m/>
    <m/>
    <m/>
    <m/>
    <m/>
    <m/>
    <n v="757687.05"/>
    <n v="742077.04"/>
    <n v="757687.05"/>
    <n v="0"/>
    <s v="—"/>
    <n v="841.87450000000001"/>
    <n v="742077.04"/>
    <n v="0"/>
    <s v="—"/>
    <n v="824.53004444444446"/>
  </r>
  <r>
    <x v="10"/>
    <s v="Chisholm Trail Technology Center                  "/>
    <n v="375656"/>
    <x v="10"/>
    <s v="sem"/>
    <s v="sem"/>
    <m/>
    <m/>
    <m/>
    <m/>
    <m/>
    <m/>
    <m/>
    <m/>
    <n v="0"/>
    <n v="0"/>
    <m/>
    <n v="0"/>
    <n v="0"/>
    <n v="0"/>
    <m/>
    <n v="0"/>
    <m/>
    <m/>
    <m/>
    <m/>
    <m/>
    <m/>
    <n v="84351"/>
    <n v="78293.25"/>
    <n v="84351"/>
    <n v="0"/>
    <s v="—"/>
    <n v="93.723333333333329"/>
    <n v="78293.25"/>
    <n v="0"/>
    <s v="—"/>
    <n v="86.992500000000007"/>
  </r>
  <r>
    <x v="10"/>
    <s v="Eastern Oklahoma County Technology Center         "/>
    <n v="418348"/>
    <x v="10"/>
    <s v="sem"/>
    <s v="sem"/>
    <m/>
    <m/>
    <m/>
    <m/>
    <m/>
    <m/>
    <m/>
    <m/>
    <n v="0"/>
    <n v="0"/>
    <m/>
    <n v="0"/>
    <n v="0"/>
    <n v="0"/>
    <m/>
    <n v="0"/>
    <m/>
    <m/>
    <m/>
    <m/>
    <m/>
    <m/>
    <n v="365616.75"/>
    <n v="346572.5"/>
    <n v="365616.75"/>
    <n v="0"/>
    <s v="—"/>
    <n v="406.24083333333334"/>
    <n v="346572.5"/>
    <n v="0"/>
    <s v="—"/>
    <n v="385.08055555555558"/>
  </r>
  <r>
    <x v="10"/>
    <s v="Gordon Cooper Technology Center                   "/>
    <n v="375683"/>
    <x v="10"/>
    <s v="sem"/>
    <s v="sem"/>
    <m/>
    <m/>
    <m/>
    <m/>
    <m/>
    <m/>
    <m/>
    <m/>
    <n v="0"/>
    <n v="0"/>
    <m/>
    <n v="0"/>
    <n v="0"/>
    <n v="0"/>
    <m/>
    <n v="0"/>
    <m/>
    <m/>
    <m/>
    <m/>
    <m/>
    <m/>
    <n v="657183.25"/>
    <n v="638792.25"/>
    <n v="657183.25"/>
    <n v="0"/>
    <s v="—"/>
    <n v="730.20361111111106"/>
    <n v="638792.25"/>
    <n v="0"/>
    <s v="—"/>
    <n v="709.76916666666671"/>
  </r>
  <r>
    <x v="10"/>
    <s v="Green Country Technology Center                   "/>
    <n v="428019"/>
    <x v="10"/>
    <s v="sem"/>
    <s v="sem"/>
    <m/>
    <m/>
    <m/>
    <m/>
    <m/>
    <m/>
    <m/>
    <m/>
    <n v="0"/>
    <n v="0"/>
    <m/>
    <n v="0"/>
    <n v="0"/>
    <n v="0"/>
    <m/>
    <n v="0"/>
    <m/>
    <m/>
    <m/>
    <m/>
    <m/>
    <m/>
    <n v="255850"/>
    <n v="209785"/>
    <n v="255850"/>
    <n v="0"/>
    <s v="—"/>
    <n v="284.27777777777777"/>
    <n v="209785"/>
    <n v="0"/>
    <s v="—"/>
    <n v="233.09444444444443"/>
  </r>
  <r>
    <x v="10"/>
    <s v="High Plains Technology Center                     "/>
    <n v="208053"/>
    <x v="10"/>
    <s v="sem"/>
    <s v="sem"/>
    <m/>
    <m/>
    <m/>
    <m/>
    <m/>
    <m/>
    <m/>
    <m/>
    <n v="0"/>
    <n v="0"/>
    <m/>
    <n v="0"/>
    <n v="0"/>
    <n v="0"/>
    <m/>
    <n v="0"/>
    <m/>
    <m/>
    <m/>
    <m/>
    <m/>
    <m/>
    <n v="269910"/>
    <n v="278161.5"/>
    <n v="269910"/>
    <n v="0"/>
    <s v="—"/>
    <n v="299.89999999999998"/>
    <n v="278161.5"/>
    <n v="0"/>
    <s v="—"/>
    <n v="309.06833333333333"/>
  </r>
  <r>
    <x v="10"/>
    <s v="Indian Capital Technology Center-Muskogee         "/>
    <n v="418296"/>
    <x v="10"/>
    <s v="sem"/>
    <s v="sem"/>
    <m/>
    <m/>
    <m/>
    <m/>
    <m/>
    <m/>
    <m/>
    <m/>
    <n v="0"/>
    <n v="0"/>
    <m/>
    <n v="0"/>
    <n v="0"/>
    <n v="0"/>
    <m/>
    <n v="0"/>
    <m/>
    <m/>
    <m/>
    <m/>
    <m/>
    <m/>
    <n v="546609.75"/>
    <n v="530796"/>
    <n v="546609.75"/>
    <n v="0"/>
    <s v="—"/>
    <n v="607.34416666666664"/>
    <n v="530796"/>
    <n v="0"/>
    <s v="—"/>
    <n v="589.77333333333331"/>
  </r>
  <r>
    <x v="10"/>
    <s v="Indian Capital Technology Center-Sallisaw         "/>
    <n v="421540"/>
    <x v="10"/>
    <s v="sem"/>
    <s v="sem"/>
    <m/>
    <m/>
    <m/>
    <m/>
    <m/>
    <m/>
    <m/>
    <m/>
    <n v="0"/>
    <n v="0"/>
    <m/>
    <n v="0"/>
    <n v="0"/>
    <n v="0"/>
    <m/>
    <n v="0"/>
    <m/>
    <m/>
    <m/>
    <m/>
    <m/>
    <m/>
    <n v="165518.25"/>
    <n v="176953.5"/>
    <n v="165518.25"/>
    <n v="0"/>
    <s v="—"/>
    <n v="183.90916666666666"/>
    <n v="176953.5"/>
    <n v="0"/>
    <s v="—"/>
    <n v="196.61500000000001"/>
  </r>
  <r>
    <x v="10"/>
    <s v="Indian Capital Technology Center-Stilwell         "/>
    <n v="421559"/>
    <x v="10"/>
    <s v="sem"/>
    <s v="sem"/>
    <m/>
    <m/>
    <m/>
    <m/>
    <m/>
    <m/>
    <m/>
    <m/>
    <n v="0"/>
    <n v="0"/>
    <m/>
    <n v="0"/>
    <n v="0"/>
    <n v="0"/>
    <m/>
    <n v="0"/>
    <m/>
    <m/>
    <m/>
    <m/>
    <m/>
    <m/>
    <n v="89654.5"/>
    <n v="96409.75"/>
    <n v="89654.5"/>
    <n v="0"/>
    <s v="—"/>
    <n v="99.61611111111111"/>
    <n v="96409.75"/>
    <n v="0"/>
    <s v="—"/>
    <n v="107.12194444444444"/>
  </r>
  <r>
    <x v="10"/>
    <s v="Indian Capital Technology Center-Tahlequah        "/>
    <n v="208026"/>
    <x v="10"/>
    <s v="sem"/>
    <s v="sem"/>
    <m/>
    <m/>
    <m/>
    <m/>
    <m/>
    <m/>
    <m/>
    <m/>
    <n v="0"/>
    <n v="0"/>
    <m/>
    <n v="0"/>
    <n v="0"/>
    <n v="0"/>
    <m/>
    <n v="0"/>
    <m/>
    <m/>
    <m/>
    <m/>
    <m/>
    <m/>
    <n v="201854.5"/>
    <n v="193509.75"/>
    <n v="201854.5"/>
    <n v="0"/>
    <s v="—"/>
    <n v="224.28277777777777"/>
    <n v="193509.75"/>
    <n v="0"/>
    <s v="—"/>
    <n v="215.01083333333332"/>
  </r>
  <r>
    <x v="10"/>
    <s v="Kiamichi Technology Center-Atoka                  "/>
    <n v="375692"/>
    <x v="10"/>
    <s v="sem"/>
    <s v="sem"/>
    <m/>
    <m/>
    <m/>
    <m/>
    <m/>
    <m/>
    <m/>
    <m/>
    <n v="0"/>
    <n v="0"/>
    <m/>
    <n v="0"/>
    <n v="0"/>
    <n v="0"/>
    <m/>
    <n v="0"/>
    <m/>
    <m/>
    <m/>
    <m/>
    <m/>
    <m/>
    <n v="139359.25"/>
    <n v="138150"/>
    <n v="139359.25"/>
    <n v="0"/>
    <s v="—"/>
    <n v="154.8436111111111"/>
    <n v="138150"/>
    <n v="0"/>
    <s v="—"/>
    <n v="153.5"/>
  </r>
  <r>
    <x v="10"/>
    <s v="Kiamichi Technology Center-Durant                 "/>
    <n v="375708"/>
    <x v="10"/>
    <s v="sem"/>
    <s v="sem"/>
    <m/>
    <m/>
    <m/>
    <m/>
    <m/>
    <m/>
    <m/>
    <m/>
    <n v="0"/>
    <n v="0"/>
    <m/>
    <n v="0"/>
    <n v="0"/>
    <n v="0"/>
    <m/>
    <n v="0"/>
    <m/>
    <m/>
    <m/>
    <m/>
    <m/>
    <m/>
    <n v="189040.18"/>
    <n v="268212.71999999997"/>
    <n v="189040.18"/>
    <n v="0"/>
    <s v="—"/>
    <n v="210.04464444444443"/>
    <n v="268212.71999999997"/>
    <n v="0"/>
    <s v="—"/>
    <n v="298.01413333333329"/>
  </r>
  <r>
    <x v="10"/>
    <s v="Kiamichi Technology Center-Hugo                   "/>
    <n v="375717"/>
    <x v="10"/>
    <s v="sem"/>
    <s v="sem"/>
    <m/>
    <m/>
    <m/>
    <m/>
    <m/>
    <m/>
    <m/>
    <m/>
    <n v="0"/>
    <n v="0"/>
    <m/>
    <n v="0"/>
    <n v="0"/>
    <n v="0"/>
    <m/>
    <n v="0"/>
    <m/>
    <m/>
    <m/>
    <m/>
    <m/>
    <m/>
    <n v="183408.5"/>
    <n v="164520.5"/>
    <n v="183408.5"/>
    <n v="0"/>
    <s v="—"/>
    <n v="203.78722222222223"/>
    <n v="164520.5"/>
    <n v="0"/>
    <s v="—"/>
    <n v="182.80055555555555"/>
  </r>
  <r>
    <x v="10"/>
    <s v="Kiamichi Technology Center-Idabel                 "/>
    <n v="375735"/>
    <x v="10"/>
    <s v="sem"/>
    <s v="sem"/>
    <m/>
    <m/>
    <m/>
    <m/>
    <m/>
    <m/>
    <m/>
    <m/>
    <n v="0"/>
    <n v="0"/>
    <m/>
    <n v="0"/>
    <n v="0"/>
    <n v="0"/>
    <m/>
    <n v="0"/>
    <m/>
    <m/>
    <m/>
    <m/>
    <m/>
    <m/>
    <n v="182796.55"/>
    <n v="218790.5"/>
    <n v="182796.55"/>
    <n v="0"/>
    <s v="—"/>
    <n v="203.10727777777777"/>
    <n v="218790.5"/>
    <n v="0"/>
    <s v="—"/>
    <n v="243.10055555555556"/>
  </r>
  <r>
    <x v="10"/>
    <s v="Kiamichi Technology Center-McAlester              "/>
    <n v="375726"/>
    <x v="10"/>
    <s v="sem"/>
    <s v="sem"/>
    <m/>
    <m/>
    <m/>
    <m/>
    <m/>
    <m/>
    <m/>
    <m/>
    <n v="0"/>
    <n v="0"/>
    <m/>
    <n v="0"/>
    <n v="0"/>
    <n v="0"/>
    <m/>
    <n v="0"/>
    <m/>
    <m/>
    <m/>
    <m/>
    <m/>
    <m/>
    <n v="269356.75"/>
    <n v="283243"/>
    <n v="269356.75"/>
    <n v="0"/>
    <s v="—"/>
    <n v="299.28527777777776"/>
    <n v="283243"/>
    <n v="0"/>
    <s v="—"/>
    <n v="314.71444444444444"/>
  </r>
  <r>
    <x v="10"/>
    <s v="Kiamichi Technology Center-Poteau                 "/>
    <n v="375744"/>
    <x v="10"/>
    <s v="sem"/>
    <s v="sem"/>
    <m/>
    <m/>
    <m/>
    <m/>
    <m/>
    <m/>
    <m/>
    <m/>
    <n v="0"/>
    <n v="0"/>
    <m/>
    <n v="0"/>
    <n v="0"/>
    <n v="0"/>
    <m/>
    <n v="0"/>
    <m/>
    <m/>
    <m/>
    <m/>
    <m/>
    <m/>
    <n v="262969.25"/>
    <n v="299304"/>
    <n v="262969.25"/>
    <n v="0"/>
    <s v="—"/>
    <n v="292.18805555555554"/>
    <n v="299304"/>
    <n v="0"/>
    <s v="—"/>
    <n v="332.56"/>
  </r>
  <r>
    <x v="10"/>
    <s v="Kiamichi Technology Center-Spiro                  "/>
    <n v="375753"/>
    <x v="10"/>
    <s v="sem"/>
    <s v="sem"/>
    <m/>
    <m/>
    <m/>
    <m/>
    <m/>
    <m/>
    <m/>
    <m/>
    <n v="0"/>
    <n v="0"/>
    <m/>
    <n v="0"/>
    <n v="0"/>
    <n v="0"/>
    <m/>
    <n v="0"/>
    <m/>
    <m/>
    <m/>
    <m/>
    <m/>
    <m/>
    <n v="21777"/>
    <n v="32781"/>
    <n v="21777"/>
    <n v="0"/>
    <s v="—"/>
    <n v="24.196666666666665"/>
    <n v="32781"/>
    <n v="0"/>
    <s v="—"/>
    <n v="36.423333333333332"/>
  </r>
  <r>
    <x v="10"/>
    <s v="Kiamichi Technology Center-Stigler                "/>
    <n v="405748"/>
    <x v="10"/>
    <s v="sem"/>
    <s v="sem"/>
    <m/>
    <m/>
    <m/>
    <m/>
    <m/>
    <m/>
    <m/>
    <m/>
    <n v="0"/>
    <n v="0"/>
    <m/>
    <n v="0"/>
    <n v="0"/>
    <n v="0"/>
    <m/>
    <n v="0"/>
    <m/>
    <m/>
    <m/>
    <m/>
    <m/>
    <m/>
    <n v="78078.75"/>
    <n v="82830.25"/>
    <n v="78078.75"/>
    <n v="0"/>
    <s v="—"/>
    <n v="86.754166666666663"/>
    <n v="82830.25"/>
    <n v="0"/>
    <s v="—"/>
    <n v="92.033611111111114"/>
  </r>
  <r>
    <x v="10"/>
    <s v="Kiamichi Technology Center-Talihina               "/>
    <n v="375762"/>
    <x v="10"/>
    <s v="sem"/>
    <s v="sem"/>
    <m/>
    <m/>
    <m/>
    <m/>
    <m/>
    <m/>
    <m/>
    <m/>
    <n v="0"/>
    <n v="0"/>
    <m/>
    <n v="0"/>
    <n v="0"/>
    <n v="0"/>
    <m/>
    <n v="0"/>
    <m/>
    <m/>
    <m/>
    <m/>
    <m/>
    <m/>
    <n v="72117.25"/>
    <n v="111498"/>
    <n v="72117.25"/>
    <n v="0"/>
    <s v="—"/>
    <n v="80.130277777777778"/>
    <n v="111498"/>
    <n v="0"/>
    <s v="—"/>
    <n v="123.88666666666667"/>
  </r>
  <r>
    <x v="10"/>
    <s v="Meridian Technology Center                        "/>
    <n v="365480"/>
    <x v="10"/>
    <s v="sem"/>
    <s v="sem"/>
    <m/>
    <m/>
    <m/>
    <m/>
    <m/>
    <m/>
    <m/>
    <m/>
    <n v="0"/>
    <n v="0"/>
    <m/>
    <n v="0"/>
    <n v="0"/>
    <n v="0"/>
    <m/>
    <n v="0"/>
    <m/>
    <m/>
    <m/>
    <m/>
    <m/>
    <m/>
    <n v="501540.28"/>
    <n v="471353.1"/>
    <n v="501540.28"/>
    <n v="0"/>
    <s v="—"/>
    <n v="557.26697777777781"/>
    <n v="471353.1"/>
    <n v="0"/>
    <s v="—"/>
    <n v="523.7256666666666"/>
  </r>
  <r>
    <x v="10"/>
    <s v="Mid-America Technology Center                     "/>
    <n v="418320"/>
    <x v="10"/>
    <s v="sem"/>
    <s v="sem"/>
    <m/>
    <m/>
    <m/>
    <m/>
    <m/>
    <m/>
    <m/>
    <m/>
    <n v="0"/>
    <n v="0"/>
    <m/>
    <n v="0"/>
    <n v="0"/>
    <n v="0"/>
    <m/>
    <n v="0"/>
    <m/>
    <m/>
    <m/>
    <m/>
    <m/>
    <m/>
    <n v="461855.5"/>
    <n v="448166.75"/>
    <n v="461855.5"/>
    <n v="0"/>
    <s v="—"/>
    <n v="513.17277777777781"/>
    <n v="448166.75"/>
    <n v="0"/>
    <s v="—"/>
    <n v="497.96305555555557"/>
  </r>
  <r>
    <x v="10"/>
    <s v="Mid-Del Technology Center                         "/>
    <n v="431017"/>
    <x v="10"/>
    <s v="sem"/>
    <s v="sem"/>
    <m/>
    <m/>
    <m/>
    <m/>
    <m/>
    <m/>
    <m/>
    <m/>
    <n v="0"/>
    <n v="0"/>
    <m/>
    <n v="0"/>
    <n v="0"/>
    <n v="0"/>
    <m/>
    <n v="0"/>
    <m/>
    <m/>
    <m/>
    <m/>
    <m/>
    <m/>
    <n v="532070.75"/>
    <n v="466376.75"/>
    <n v="532070.75"/>
    <n v="0"/>
    <s v="—"/>
    <n v="591.18972222222226"/>
    <n v="466376.75"/>
    <n v="0"/>
    <s v="—"/>
    <n v="518.19638888888892"/>
  </r>
  <r>
    <x v="10"/>
    <s v="Northeast Technology Center-Afton                 "/>
    <n v="420459"/>
    <x v="10"/>
    <s v="sem"/>
    <s v="sem"/>
    <m/>
    <m/>
    <m/>
    <m/>
    <m/>
    <m/>
    <m/>
    <m/>
    <n v="0"/>
    <n v="0"/>
    <m/>
    <n v="0"/>
    <n v="0"/>
    <n v="0"/>
    <m/>
    <n v="0"/>
    <m/>
    <m/>
    <m/>
    <m/>
    <m/>
    <m/>
    <n v="357506.25"/>
    <n v="352445.25"/>
    <n v="357506.25"/>
    <n v="0"/>
    <s v="—"/>
    <n v="397.22916666666669"/>
    <n v="352445.25"/>
    <n v="0"/>
    <s v="—"/>
    <n v="391.60583333333335"/>
  </r>
  <r>
    <x v="10"/>
    <s v="Northeast Technology Center-Kansas                "/>
    <n v="432074"/>
    <x v="10"/>
    <s v="sem"/>
    <s v="sem"/>
    <m/>
    <m/>
    <m/>
    <m/>
    <m/>
    <m/>
    <m/>
    <m/>
    <n v="0"/>
    <n v="0"/>
    <m/>
    <n v="0"/>
    <n v="0"/>
    <n v="0"/>
    <m/>
    <n v="0"/>
    <m/>
    <m/>
    <m/>
    <m/>
    <m/>
    <m/>
    <n v="141349.5"/>
    <n v="136361.45000000001"/>
    <n v="141349.5"/>
    <n v="0"/>
    <s v="—"/>
    <n v="157.05500000000001"/>
    <n v="136361.45000000001"/>
    <n v="0"/>
    <s v="—"/>
    <n v="151.51272222222224"/>
  </r>
  <r>
    <x v="10"/>
    <s v="Northeast Technology Center-Pryor                 "/>
    <n v="418339"/>
    <x v="10"/>
    <s v="sem"/>
    <s v="sem"/>
    <m/>
    <m/>
    <m/>
    <m/>
    <m/>
    <m/>
    <m/>
    <m/>
    <n v="0"/>
    <n v="0"/>
    <m/>
    <n v="0"/>
    <n v="0"/>
    <n v="0"/>
    <m/>
    <n v="0"/>
    <m/>
    <m/>
    <m/>
    <m/>
    <m/>
    <m/>
    <n v="387785.75"/>
    <n v="401717.25"/>
    <n v="387785.75"/>
    <n v="0"/>
    <s v="—"/>
    <n v="430.87305555555554"/>
    <n v="401717.25"/>
    <n v="0"/>
    <s v="—"/>
    <n v="446.35250000000002"/>
  </r>
  <r>
    <x v="10"/>
    <s v="Northwest Technology Center-Alva                  "/>
    <n v="366623"/>
    <x v="10"/>
    <s v="sem"/>
    <s v="sem"/>
    <m/>
    <m/>
    <m/>
    <m/>
    <m/>
    <m/>
    <m/>
    <m/>
    <n v="0"/>
    <n v="0"/>
    <m/>
    <n v="0"/>
    <n v="0"/>
    <n v="0"/>
    <m/>
    <n v="0"/>
    <m/>
    <m/>
    <m/>
    <m/>
    <m/>
    <m/>
    <n v="83876.23"/>
    <n v="87422.5"/>
    <n v="83876.23"/>
    <n v="0"/>
    <s v="—"/>
    <n v="93.195811111111112"/>
    <n v="87422.5"/>
    <n v="0"/>
    <s v="—"/>
    <n v="97.136111111111106"/>
  </r>
  <r>
    <x v="10"/>
    <s v="Northwest Technology Center-Fairview              "/>
    <n v="407601"/>
    <x v="10"/>
    <s v="sem"/>
    <s v="sem"/>
    <m/>
    <m/>
    <m/>
    <m/>
    <m/>
    <m/>
    <m/>
    <m/>
    <n v="0"/>
    <n v="0"/>
    <m/>
    <n v="0"/>
    <n v="0"/>
    <n v="0"/>
    <m/>
    <n v="0"/>
    <m/>
    <m/>
    <m/>
    <m/>
    <m/>
    <m/>
    <n v="91790.97"/>
    <n v="79562"/>
    <n v="91790.97"/>
    <n v="0"/>
    <s v="—"/>
    <n v="101.98996666666667"/>
    <n v="79562"/>
    <n v="0"/>
    <s v="—"/>
    <n v="88.402222222222221"/>
  </r>
  <r>
    <x v="10"/>
    <s v="Pioneer Technology Center                         "/>
    <n v="364627"/>
    <x v="10"/>
    <s v="sem"/>
    <s v="sem"/>
    <m/>
    <m/>
    <m/>
    <m/>
    <m/>
    <m/>
    <m/>
    <m/>
    <n v="0"/>
    <n v="0"/>
    <m/>
    <n v="0"/>
    <n v="0"/>
    <n v="0"/>
    <m/>
    <n v="0"/>
    <m/>
    <m/>
    <m/>
    <m/>
    <m/>
    <m/>
    <n v="342207.6"/>
    <n v="308258.5"/>
    <n v="342207.6"/>
    <n v="0"/>
    <s v="—"/>
    <n v="380.23066666666665"/>
    <n v="308258.5"/>
    <n v="0"/>
    <s v="—"/>
    <n v="342.50944444444445"/>
  </r>
  <r>
    <x v="10"/>
    <s v="Pontotoc Technology Center                        "/>
    <n v="206905"/>
    <x v="10"/>
    <s v="sem"/>
    <s v="sem"/>
    <m/>
    <m/>
    <m/>
    <m/>
    <m/>
    <m/>
    <m/>
    <m/>
    <n v="0"/>
    <n v="0"/>
    <m/>
    <n v="0"/>
    <n v="0"/>
    <n v="0"/>
    <m/>
    <n v="0"/>
    <m/>
    <m/>
    <m/>
    <m/>
    <m/>
    <m/>
    <n v="264984.75"/>
    <n v="227996.65"/>
    <n v="264984.75"/>
    <n v="0"/>
    <s v="—"/>
    <n v="294.42750000000001"/>
    <n v="227996.65"/>
    <n v="0"/>
    <s v="—"/>
    <n v="253.32961111111109"/>
  </r>
  <r>
    <x v="10"/>
    <s v="Red River Technology Center                       "/>
    <n v="250993"/>
    <x v="10"/>
    <s v="sem"/>
    <s v="sem"/>
    <m/>
    <m/>
    <m/>
    <m/>
    <m/>
    <m/>
    <m/>
    <m/>
    <n v="0"/>
    <n v="0"/>
    <m/>
    <n v="0"/>
    <n v="0"/>
    <n v="0"/>
    <m/>
    <n v="0"/>
    <m/>
    <m/>
    <m/>
    <m/>
    <m/>
    <m/>
    <n v="288732"/>
    <n v="282972.75"/>
    <n v="288732"/>
    <n v="0"/>
    <s v="—"/>
    <n v="320.81333333333333"/>
    <n v="282972.75"/>
    <n v="0"/>
    <s v="—"/>
    <n v="314.41416666666669"/>
  </r>
  <r>
    <x v="10"/>
    <s v="Southern Oklahoma Technology Center               "/>
    <n v="365198"/>
    <x v="10"/>
    <s v="sem"/>
    <s v="sem"/>
    <m/>
    <m/>
    <m/>
    <m/>
    <m/>
    <m/>
    <m/>
    <m/>
    <n v="0"/>
    <n v="0"/>
    <m/>
    <n v="0"/>
    <n v="0"/>
    <n v="0"/>
    <m/>
    <n v="0"/>
    <m/>
    <m/>
    <m/>
    <m/>
    <m/>
    <m/>
    <n v="368533"/>
    <n v="344932"/>
    <n v="368533"/>
    <n v="0"/>
    <s v="—"/>
    <n v="409.48111111111109"/>
    <n v="344932"/>
    <n v="0"/>
    <s v="—"/>
    <n v="383.25777777777779"/>
  </r>
  <r>
    <x v="10"/>
    <s v="Southwest Technology Center                       "/>
    <n v="368364"/>
    <x v="10"/>
    <s v="sem"/>
    <s v="sem"/>
    <m/>
    <m/>
    <m/>
    <m/>
    <m/>
    <m/>
    <m/>
    <m/>
    <n v="0"/>
    <n v="0"/>
    <m/>
    <n v="0"/>
    <n v="0"/>
    <n v="0"/>
    <m/>
    <n v="0"/>
    <m/>
    <m/>
    <m/>
    <m/>
    <m/>
    <m/>
    <n v="221500.1"/>
    <n v="180908.98"/>
    <n v="221500.1"/>
    <n v="0"/>
    <s v="—"/>
    <n v="246.11122222222224"/>
    <n v="180908.98"/>
    <n v="0"/>
    <s v="—"/>
    <n v="201.00997777777778"/>
  </r>
  <r>
    <x v="10"/>
    <s v="Tri County Technology Center                      "/>
    <n v="418287"/>
    <x v="10"/>
    <s v="sem"/>
    <s v="sem"/>
    <m/>
    <m/>
    <m/>
    <m/>
    <m/>
    <m/>
    <m/>
    <m/>
    <n v="0"/>
    <n v="0"/>
    <m/>
    <n v="0"/>
    <n v="0"/>
    <n v="0"/>
    <m/>
    <n v="0"/>
    <m/>
    <m/>
    <m/>
    <m/>
    <m/>
    <m/>
    <n v="435214"/>
    <n v="392395.8"/>
    <n v="435214"/>
    <n v="0"/>
    <s v="—"/>
    <n v="483.57111111111112"/>
    <n v="392395.8"/>
    <n v="0"/>
    <s v="—"/>
    <n v="435.99533333333329"/>
  </r>
  <r>
    <x v="10"/>
    <s v="Tulsa County Area Voc Tech School Dist 18-Peoria  "/>
    <n v="207607"/>
    <x v="10"/>
    <s v="sem"/>
    <s v="sem"/>
    <m/>
    <m/>
    <m/>
    <m/>
    <m/>
    <m/>
    <m/>
    <m/>
    <n v="0"/>
    <n v="0"/>
    <m/>
    <n v="0"/>
    <n v="0"/>
    <n v="0"/>
    <m/>
    <n v="0"/>
    <m/>
    <m/>
    <m/>
    <m/>
    <m/>
    <m/>
    <n v="459052"/>
    <n v="374840.25"/>
    <n v="459052"/>
    <n v="0"/>
    <s v="—"/>
    <n v="510.0577777777778"/>
    <n v="374840.25"/>
    <n v="0"/>
    <s v="—"/>
    <n v="416.48916666666668"/>
  </r>
  <r>
    <x v="10"/>
    <s v="Tulsa Technology Center-Lemley Campus             "/>
    <n v="261375"/>
    <x v="10"/>
    <s v="sem"/>
    <s v="sem"/>
    <m/>
    <m/>
    <m/>
    <m/>
    <m/>
    <m/>
    <m/>
    <m/>
    <n v="0"/>
    <n v="0"/>
    <m/>
    <n v="0"/>
    <n v="0"/>
    <n v="0"/>
    <m/>
    <n v="0"/>
    <m/>
    <m/>
    <m/>
    <m/>
    <m/>
    <m/>
    <n v="774540.75"/>
    <n v="772305.5"/>
    <n v="774540.75"/>
    <n v="0"/>
    <s v="—"/>
    <n v="860.6008333333333"/>
    <n v="772305.5"/>
    <n v="0"/>
    <s v="—"/>
    <n v="858.11722222222227"/>
  </r>
  <r>
    <x v="10"/>
    <s v="Tulsa Technology Center-Riverside Campus          "/>
    <n v="261384"/>
    <x v="10"/>
    <s v="sem"/>
    <s v="sem"/>
    <m/>
    <m/>
    <m/>
    <m/>
    <m/>
    <m/>
    <m/>
    <m/>
    <n v="0"/>
    <n v="0"/>
    <m/>
    <n v="0"/>
    <n v="0"/>
    <n v="0"/>
    <m/>
    <n v="0"/>
    <m/>
    <m/>
    <m/>
    <m/>
    <m/>
    <m/>
    <n v="366286"/>
    <n v="386058.75"/>
    <n v="366286"/>
    <n v="0"/>
    <s v="—"/>
    <n v="406.98444444444442"/>
    <n v="386058.75"/>
    <n v="0"/>
    <s v="—"/>
    <n v="428.95416666666665"/>
  </r>
  <r>
    <x v="10"/>
    <s v="Wes Watkins Technology Center                     "/>
    <n v="418357"/>
    <x v="10"/>
    <s v="sem"/>
    <s v="sem"/>
    <m/>
    <m/>
    <m/>
    <m/>
    <m/>
    <m/>
    <m/>
    <m/>
    <n v="0"/>
    <n v="0"/>
    <m/>
    <n v="0"/>
    <n v="0"/>
    <n v="0"/>
    <m/>
    <n v="0"/>
    <m/>
    <m/>
    <m/>
    <m/>
    <m/>
    <m/>
    <n v="162854.75"/>
    <n v="181083.75"/>
    <n v="162854.75"/>
    <n v="0"/>
    <s v="—"/>
    <n v="180.94972222222222"/>
    <n v="181083.75"/>
    <n v="0"/>
    <s v="—"/>
    <n v="201.20416666666668"/>
  </r>
  <r>
    <x v="10"/>
    <s v="Western Technology Center                         "/>
    <n v="418302"/>
    <x v="10"/>
    <s v="sem"/>
    <s v="sem"/>
    <m/>
    <m/>
    <m/>
    <m/>
    <m/>
    <m/>
    <m/>
    <m/>
    <n v="0"/>
    <n v="0"/>
    <m/>
    <n v="0"/>
    <n v="0"/>
    <n v="0"/>
    <m/>
    <n v="0"/>
    <m/>
    <m/>
    <m/>
    <m/>
    <m/>
    <m/>
    <n v="331964.40000000002"/>
    <n v="339272.54"/>
    <n v="331964.40000000002"/>
    <n v="0"/>
    <s v="—"/>
    <n v="368.84933333333333"/>
    <n v="339272.54"/>
    <n v="0"/>
    <s v="—"/>
    <n v="376.96948888888886"/>
  </r>
  <r>
    <x v="11"/>
    <s v="Clemson University"/>
    <n v="217882"/>
    <x v="0"/>
    <s v="sem"/>
    <s v="sem"/>
    <m/>
    <m/>
    <n v="191353"/>
    <n v="194911"/>
    <n v="27349"/>
    <n v="27069"/>
    <n v="209673"/>
    <n v="219442"/>
    <n v="428375"/>
    <n v="428375"/>
    <m/>
    <n v="14279.166666666666"/>
    <n v="441422"/>
    <n v="441422"/>
    <m/>
    <n v="14714.066666666668"/>
    <m/>
    <m/>
    <m/>
    <m/>
    <m/>
    <m/>
    <m/>
    <m/>
    <n v="0"/>
    <n v="0"/>
    <m/>
    <n v="0"/>
    <n v="0"/>
    <n v="0"/>
    <m/>
    <n v="0"/>
  </r>
  <r>
    <x v="11"/>
    <s v="University of South Carolina-Columbia"/>
    <n v="218663"/>
    <x v="0"/>
    <s v="sem"/>
    <s v="sem"/>
    <m/>
    <m/>
    <n v="247447"/>
    <n v="257902"/>
    <n v="30091"/>
    <n v="29156"/>
    <n v="274633"/>
    <n v="290459"/>
    <n v="552171"/>
    <n v="552171"/>
    <n v="322"/>
    <n v="18405.7"/>
    <n v="577517"/>
    <n v="577517"/>
    <n v="88"/>
    <n v="19250.566666666666"/>
    <m/>
    <m/>
    <m/>
    <m/>
    <m/>
    <m/>
    <m/>
    <m/>
    <n v="0"/>
    <n v="0"/>
    <m/>
    <n v="0"/>
    <n v="0"/>
    <n v="0"/>
    <m/>
    <n v="0"/>
  </r>
  <r>
    <x v="11"/>
    <s v="College of Charleston"/>
    <n v="217819"/>
    <x v="2"/>
    <s v="sem"/>
    <s v="sem"/>
    <m/>
    <m/>
    <n v="130315"/>
    <n v="131350"/>
    <n v="14948"/>
    <n v="14310"/>
    <n v="140108"/>
    <n v="138079"/>
    <n v="285371"/>
    <n v="285371"/>
    <n v="0"/>
    <n v="9512.3666666666668"/>
    <n v="283739"/>
    <n v="283739"/>
    <m/>
    <n v="9457.9666666666672"/>
    <m/>
    <m/>
    <m/>
    <m/>
    <m/>
    <m/>
    <m/>
    <m/>
    <n v="0"/>
    <n v="0"/>
    <m/>
    <n v="0"/>
    <n v="0"/>
    <n v="0"/>
    <m/>
    <n v="0"/>
  </r>
  <r>
    <x v="11"/>
    <s v="Winthrop University "/>
    <n v="218964"/>
    <x v="2"/>
    <s v="sem"/>
    <s v="sem"/>
    <m/>
    <m/>
    <n v="67625.5"/>
    <n v="66170"/>
    <n v="6140.5"/>
    <n v="6745"/>
    <n v="70994"/>
    <n v="71720.5"/>
    <n v="144760"/>
    <n v="144760"/>
    <n v="1042"/>
    <n v="4825.333333333333"/>
    <n v="144635.5"/>
    <n v="144635.5"/>
    <n v="1066"/>
    <n v="4821.1833333333334"/>
    <m/>
    <m/>
    <m/>
    <m/>
    <m/>
    <m/>
    <m/>
    <m/>
    <n v="0"/>
    <n v="0"/>
    <m/>
    <n v="0"/>
    <n v="0"/>
    <n v="0"/>
    <m/>
    <n v="0"/>
  </r>
  <r>
    <x v="11"/>
    <s v="The Citadel, the Military College of South Carolina "/>
    <n v="217864"/>
    <x v="3"/>
    <s v="sem"/>
    <s v="sem"/>
    <m/>
    <m/>
    <n v="36281"/>
    <n v="36405"/>
    <n v="5544"/>
    <n v="5704"/>
    <n v="38923"/>
    <n v="39478"/>
    <n v="80748"/>
    <n v="80748"/>
    <n v="132"/>
    <n v="2691.6"/>
    <n v="81587"/>
    <n v="81587"/>
    <n v="167"/>
    <n v="2719.5666666666666"/>
    <m/>
    <m/>
    <m/>
    <m/>
    <m/>
    <m/>
    <m/>
    <m/>
    <n v="0"/>
    <n v="0"/>
    <m/>
    <n v="0"/>
    <n v="0"/>
    <n v="0"/>
    <m/>
    <n v="0"/>
  </r>
  <r>
    <x v="11"/>
    <s v="Coastal Carolina University"/>
    <n v="218724"/>
    <x v="4"/>
    <s v="sem"/>
    <s v="sem"/>
    <m/>
    <m/>
    <n v="88090"/>
    <n v="93211"/>
    <n v="9520"/>
    <n v="9512"/>
    <n v="103185"/>
    <n v="110338"/>
    <n v="200795"/>
    <n v="200795"/>
    <n v="287"/>
    <n v="6693.166666666667"/>
    <n v="213061"/>
    <n v="213061"/>
    <n v="366"/>
    <n v="7102.0333333333338"/>
    <m/>
    <m/>
    <m/>
    <m/>
    <m/>
    <m/>
    <m/>
    <m/>
    <n v="0"/>
    <n v="0"/>
    <m/>
    <n v="0"/>
    <n v="0"/>
    <n v="0"/>
    <m/>
    <n v="0"/>
  </r>
  <r>
    <x v="11"/>
    <s v="Francis Marion University "/>
    <n v="218061"/>
    <x v="4"/>
    <s v="sem"/>
    <s v="sem"/>
    <m/>
    <m/>
    <n v="42227"/>
    <n v="42609"/>
    <n v="5474"/>
    <n v="5054"/>
    <n v="47377"/>
    <n v="47479"/>
    <n v="95078"/>
    <n v="95078"/>
    <n v="503"/>
    <n v="3169.2666666666669"/>
    <n v="95142"/>
    <n v="95142"/>
    <n v="483"/>
    <n v="3171.4"/>
    <m/>
    <m/>
    <m/>
    <m/>
    <m/>
    <m/>
    <m/>
    <m/>
    <n v="0"/>
    <n v="0"/>
    <m/>
    <n v="0"/>
    <n v="0"/>
    <n v="0"/>
    <m/>
    <n v="0"/>
  </r>
  <r>
    <x v="11"/>
    <s v="Lander University"/>
    <n v="218229"/>
    <x v="4"/>
    <s v="sem"/>
    <s v="sem"/>
    <m/>
    <m/>
    <n v="31585.5"/>
    <n v="30259.5"/>
    <n v="3728"/>
    <n v="3825"/>
    <n v="32288.5"/>
    <n v="35078"/>
    <n v="67602"/>
    <n v="67602"/>
    <n v="117"/>
    <n v="2253.4"/>
    <n v="69162.5"/>
    <n v="69162.5"/>
    <n v="215"/>
    <n v="2305.4166666666665"/>
    <m/>
    <m/>
    <m/>
    <m/>
    <m/>
    <m/>
    <m/>
    <m/>
    <n v="0"/>
    <n v="0"/>
    <m/>
    <n v="0"/>
    <n v="0"/>
    <n v="0"/>
    <m/>
    <n v="0"/>
  </r>
  <r>
    <x v="11"/>
    <s v="South Carolina State University "/>
    <n v="218733"/>
    <x v="4"/>
    <s v="sem"/>
    <s v="sem"/>
    <m/>
    <m/>
    <n v="53324"/>
    <n v="58657"/>
    <n v="7601"/>
    <n v="7531"/>
    <n v="63993"/>
    <n v="59286"/>
    <n v="124918"/>
    <n v="124918"/>
    <n v="0"/>
    <n v="4163.9333333333334"/>
    <n v="125474"/>
    <n v="125474"/>
    <n v="156"/>
    <n v="4182.4666666666662"/>
    <m/>
    <m/>
    <m/>
    <m/>
    <m/>
    <m/>
    <m/>
    <m/>
    <n v="0"/>
    <n v="0"/>
    <m/>
    <n v="0"/>
    <n v="0"/>
    <n v="0"/>
    <m/>
    <n v="0"/>
  </r>
  <r>
    <x v="11"/>
    <s v="University of South Carolina-Aiken"/>
    <n v="218645"/>
    <x v="5"/>
    <s v="sem"/>
    <s v="sem"/>
    <m/>
    <m/>
    <n v="36027"/>
    <n v="36699"/>
    <n v="4726"/>
    <n v="4664"/>
    <n v="39985"/>
    <n v="40140"/>
    <n v="80738"/>
    <n v="80738"/>
    <n v="906"/>
    <n v="2691.2666666666669"/>
    <n v="81503"/>
    <n v="81503"/>
    <n v="1113"/>
    <n v="2716.7666666666669"/>
    <m/>
    <m/>
    <m/>
    <m/>
    <m/>
    <m/>
    <m/>
    <m/>
    <n v="0"/>
    <n v="0"/>
    <m/>
    <n v="0"/>
    <n v="0"/>
    <n v="0"/>
    <m/>
    <n v="0"/>
  </r>
  <r>
    <x v="11"/>
    <s v="University of South Carolina-Upstate"/>
    <n v="218742"/>
    <x v="5"/>
    <s v="sem"/>
    <s v="sem"/>
    <m/>
    <m/>
    <n v="59380"/>
    <n v="61034"/>
    <n v="8078"/>
    <n v="8209"/>
    <n v="66448"/>
    <n v="67814"/>
    <n v="133906"/>
    <n v="133906"/>
    <n v="201"/>
    <n v="4463.5333333333338"/>
    <n v="137057"/>
    <n v="137057"/>
    <n v="739"/>
    <n v="4568.5666666666666"/>
    <m/>
    <m/>
    <m/>
    <m/>
    <m/>
    <m/>
    <m/>
    <m/>
    <n v="0"/>
    <n v="0"/>
    <m/>
    <n v="0"/>
    <n v="0"/>
    <n v="0"/>
    <m/>
    <n v="0"/>
  </r>
  <r>
    <x v="11"/>
    <s v="University of South Carolina-Beaufort"/>
    <n v="218654"/>
    <x v="12"/>
    <s v="sem"/>
    <s v="sem"/>
    <m/>
    <m/>
    <n v="13596"/>
    <n v="15338"/>
    <n v="2735"/>
    <n v="2454"/>
    <n v="16509"/>
    <n v="17859"/>
    <n v="32840"/>
    <n v="32840"/>
    <n v="320"/>
    <n v="1094.6666666666667"/>
    <n v="35651"/>
    <n v="35651"/>
    <n v="332"/>
    <n v="1188.3666666666666"/>
    <m/>
    <m/>
    <m/>
    <m/>
    <m/>
    <m/>
    <m/>
    <m/>
    <n v="0"/>
    <n v="0"/>
    <m/>
    <n v="0"/>
    <n v="0"/>
    <n v="0"/>
    <m/>
    <n v="0"/>
  </r>
  <r>
    <x v="11"/>
    <s v="Greenville Technical College "/>
    <n v="218113"/>
    <x v="6"/>
    <s v="sem"/>
    <s v="sem"/>
    <m/>
    <m/>
    <n v="121157.32"/>
    <n v="127396.35"/>
    <n v="49984.43"/>
    <n v="48058.9"/>
    <n v="141797.04999999996"/>
    <n v="151098.14000000001"/>
    <n v="312938.79999999993"/>
    <n v="312938.79999999993"/>
    <n v="580"/>
    <n v="10431.293333333331"/>
    <n v="326553.39"/>
    <n v="326553.39"/>
    <n v="4846"/>
    <n v="10885.113000000001"/>
    <m/>
    <m/>
    <m/>
    <m/>
    <m/>
    <m/>
    <m/>
    <m/>
    <n v="0"/>
    <n v="0"/>
    <m/>
    <n v="0"/>
    <n v="0"/>
    <n v="0"/>
    <m/>
    <n v="0"/>
  </r>
  <r>
    <x v="11"/>
    <s v="Midlands Technical College "/>
    <n v="218353"/>
    <x v="6"/>
    <s v="sem"/>
    <s v="sem"/>
    <m/>
    <m/>
    <n v="101030.95000000001"/>
    <n v="104410.07"/>
    <n v="40951.24"/>
    <n v="41868.949999999997"/>
    <n v="112207.58"/>
    <n v="118218.87"/>
    <n v="254189.77000000002"/>
    <n v="254189.77000000002"/>
    <n v="1722"/>
    <n v="8472.9923333333336"/>
    <n v="264497.89"/>
    <n v="264497.89"/>
    <n v="1663"/>
    <n v="8816.596333333333"/>
    <m/>
    <m/>
    <m/>
    <m/>
    <m/>
    <m/>
    <m/>
    <m/>
    <n v="0"/>
    <n v="0"/>
    <m/>
    <n v="0"/>
    <n v="0"/>
    <n v="0"/>
    <m/>
    <n v="0"/>
  </r>
  <r>
    <x v="11"/>
    <s v="Trident Technical College "/>
    <n v="218894"/>
    <x v="6"/>
    <s v="sem"/>
    <s v="sem"/>
    <m/>
    <m/>
    <n v="107855.11"/>
    <n v="113241.93"/>
    <n v="43205.389999999992"/>
    <n v="45570.1"/>
    <n v="120329.23000000001"/>
    <n v="128017.17"/>
    <n v="271389.73"/>
    <n v="271389.73"/>
    <n v="5980"/>
    <n v="9046.3243333333321"/>
    <n v="286829.2"/>
    <n v="286829.2"/>
    <n v="5977"/>
    <n v="9560.9733333333334"/>
    <m/>
    <m/>
    <m/>
    <m/>
    <m/>
    <m/>
    <m/>
    <m/>
    <n v="0"/>
    <n v="0"/>
    <m/>
    <n v="0"/>
    <n v="0"/>
    <n v="0"/>
    <m/>
    <n v="0"/>
  </r>
  <r>
    <x v="11"/>
    <s v="Aiken Technical College "/>
    <n v="217615"/>
    <x v="7"/>
    <s v="sem"/>
    <s v="sem"/>
    <m/>
    <m/>
    <n v="25691.34"/>
    <n v="26679.67"/>
    <n v="11308.62"/>
    <n v="11818.4"/>
    <n v="27796.739999999998"/>
    <n v="29641.65"/>
    <n v="64796.7"/>
    <n v="64796.7"/>
    <n v="48"/>
    <n v="2159.89"/>
    <n v="68139.72"/>
    <n v="68139.72"/>
    <n v="131"/>
    <n v="2271.3240000000001"/>
    <m/>
    <m/>
    <m/>
    <m/>
    <m/>
    <m/>
    <m/>
    <m/>
    <n v="0"/>
    <n v="0"/>
    <m/>
    <n v="0"/>
    <n v="0"/>
    <n v="0"/>
    <m/>
    <n v="0"/>
  </r>
  <r>
    <x v="11"/>
    <s v="Central Carolina Technical College "/>
    <n v="218858"/>
    <x v="7"/>
    <s v="sem"/>
    <s v="sem"/>
    <m/>
    <m/>
    <n v="25091.680000000004"/>
    <n v="29667.48"/>
    <n v="11544.13"/>
    <n v="12184.56"/>
    <n v="31570.560000000001"/>
    <n v="30728.74"/>
    <n v="68206.37000000001"/>
    <n v="68206.37000000001"/>
    <n v="3523"/>
    <n v="2273.5456666666669"/>
    <n v="72580.78"/>
    <n v="72580.78"/>
    <n v="3170"/>
    <n v="2419.3593333333333"/>
    <m/>
    <m/>
    <m/>
    <m/>
    <m/>
    <m/>
    <m/>
    <m/>
    <n v="0"/>
    <n v="0"/>
    <m/>
    <n v="0"/>
    <n v="0"/>
    <n v="0"/>
    <m/>
    <n v="0"/>
  </r>
  <r>
    <x v="11"/>
    <s v="Florence-Darlington Technical College "/>
    <n v="218025"/>
    <x v="7"/>
    <s v="sem"/>
    <s v="sem"/>
    <m/>
    <m/>
    <n v="39921.81"/>
    <n v="42200.79"/>
    <n v="15705.86"/>
    <n v="16454.919999999998"/>
    <n v="43954.090000000004"/>
    <n v="49144.25"/>
    <n v="99581.760000000009"/>
    <n v="99581.760000000009"/>
    <n v="622"/>
    <n v="3319.3920000000003"/>
    <n v="107799.95999999999"/>
    <n v="107799.95999999999"/>
    <n v="744"/>
    <n v="3593.3319999999999"/>
    <m/>
    <m/>
    <m/>
    <m/>
    <m/>
    <m/>
    <m/>
    <m/>
    <n v="0"/>
    <n v="0"/>
    <m/>
    <n v="0"/>
    <n v="0"/>
    <n v="0"/>
    <m/>
    <n v="0"/>
  </r>
  <r>
    <x v="11"/>
    <s v="Horry-Georgetown Technical College "/>
    <n v="218140"/>
    <x v="7"/>
    <s v="sem"/>
    <s v="sem"/>
    <m/>
    <m/>
    <n v="51328.31"/>
    <n v="54371.47"/>
    <n v="19081.689999999999"/>
    <n v="19365.11"/>
    <n v="57973.06"/>
    <n v="59752.67"/>
    <n v="128383.06"/>
    <n v="128383.06"/>
    <n v="2322"/>
    <n v="4279.4353333333329"/>
    <n v="133489.25"/>
    <n v="133489.25"/>
    <n v="2366"/>
    <n v="4449.6416666666664"/>
    <m/>
    <m/>
    <m/>
    <m/>
    <m/>
    <m/>
    <m/>
    <m/>
    <n v="0"/>
    <n v="0"/>
    <m/>
    <n v="0"/>
    <n v="0"/>
    <n v="0"/>
    <m/>
    <n v="0"/>
  </r>
  <r>
    <x v="11"/>
    <s v="Orangeburg-Calhoun Technical College"/>
    <n v="218487"/>
    <x v="7"/>
    <s v="sem"/>
    <s v="sem"/>
    <m/>
    <m/>
    <n v="24689.759999999998"/>
    <n v="23247.19"/>
    <n v="10406.580000000002"/>
    <n v="10059.17"/>
    <n v="26175.050000000003"/>
    <n v="29056.79"/>
    <n v="61271.39"/>
    <n v="61271.39"/>
    <n v="2132"/>
    <n v="2042.3796666666667"/>
    <n v="62363.15"/>
    <n v="62363.15"/>
    <n v="3561"/>
    <n v="2078.7716666666665"/>
    <m/>
    <m/>
    <m/>
    <m/>
    <m/>
    <m/>
    <m/>
    <m/>
    <n v="0"/>
    <n v="0"/>
    <m/>
    <n v="0"/>
    <n v="0"/>
    <n v="0"/>
    <m/>
    <n v="0"/>
  </r>
  <r>
    <x v="11"/>
    <s v="Piedmont Technical College "/>
    <n v="218520"/>
    <x v="7"/>
    <s v="sem"/>
    <s v="sem"/>
    <m/>
    <m/>
    <n v="44371.98"/>
    <n v="47232.11"/>
    <n v="22164.02"/>
    <n v="20808.52"/>
    <n v="51931.87"/>
    <n v="53255.92"/>
    <n v="118467.87"/>
    <n v="118467.87"/>
    <n v="7082"/>
    <n v="3948.9289999999996"/>
    <n v="121296.55"/>
    <n v="121296.55"/>
    <n v="7361"/>
    <n v="4043.2183333333332"/>
    <m/>
    <m/>
    <m/>
    <m/>
    <m/>
    <m/>
    <m/>
    <m/>
    <n v="0"/>
    <n v="0"/>
    <m/>
    <n v="0"/>
    <n v="0"/>
    <n v="0"/>
    <m/>
    <n v="0"/>
  </r>
  <r>
    <x v="11"/>
    <s v="Spartanburg Technical College "/>
    <n v="218830"/>
    <x v="7"/>
    <s v="sem"/>
    <s v="sem"/>
    <m/>
    <m/>
    <n v="43054.31"/>
    <n v="47186.6"/>
    <n v="16063.719999999998"/>
    <n v="16579.330000000002"/>
    <n v="48980.54"/>
    <n v="50817.52"/>
    <n v="108098.57"/>
    <n v="108098.57"/>
    <n v="87"/>
    <n v="3603.2856666666671"/>
    <n v="114583.45"/>
    <n v="114583.45"/>
    <n v="539"/>
    <n v="3819.4483333333333"/>
    <m/>
    <m/>
    <m/>
    <m/>
    <m/>
    <m/>
    <m/>
    <m/>
    <n v="0"/>
    <n v="0"/>
    <m/>
    <n v="0"/>
    <n v="0"/>
    <n v="0"/>
    <m/>
    <n v="0"/>
  </r>
  <r>
    <x v="11"/>
    <s v="Tri-County Technical College "/>
    <n v="218885"/>
    <x v="7"/>
    <s v="sem"/>
    <s v="sem"/>
    <m/>
    <m/>
    <n v="50210.83"/>
    <n v="53297.39"/>
    <n v="19830.59"/>
    <n v="19922.189999999999"/>
    <n v="58192.09"/>
    <n v="65809.89"/>
    <n v="128233.51"/>
    <n v="128233.51"/>
    <n v="6086"/>
    <n v="4274.4503333333332"/>
    <n v="139029.47"/>
    <n v="139029.47"/>
    <n v="7504"/>
    <n v="4634.3156666666664"/>
    <m/>
    <m/>
    <m/>
    <m/>
    <m/>
    <m/>
    <m/>
    <m/>
    <n v="0"/>
    <n v="0"/>
    <m/>
    <n v="0"/>
    <n v="0"/>
    <n v="0"/>
    <m/>
    <n v="0"/>
  </r>
  <r>
    <x v="11"/>
    <s v="York Technical College "/>
    <n v="218991"/>
    <x v="7"/>
    <s v="sem"/>
    <s v="sem"/>
    <m/>
    <m/>
    <n v="42657.82"/>
    <n v="46418.92"/>
    <n v="18985.739999999998"/>
    <n v="21602.75"/>
    <n v="50805.33"/>
    <n v="54637.85"/>
    <n v="112448.89"/>
    <n v="112448.89"/>
    <n v="3779"/>
    <n v="3748.2963333333332"/>
    <n v="122659.51999999999"/>
    <n v="122659.51999999999"/>
    <n v="5594"/>
    <n v="4088.6506666666664"/>
    <m/>
    <m/>
    <m/>
    <m/>
    <m/>
    <m/>
    <m/>
    <m/>
    <n v="0"/>
    <n v="0"/>
    <m/>
    <n v="0"/>
    <n v="0"/>
    <n v="0"/>
    <m/>
    <n v="0"/>
  </r>
  <r>
    <x v="11"/>
    <s v="Denmark Technical College "/>
    <n v="217989"/>
    <x v="8"/>
    <s v="sem"/>
    <s v="sem"/>
    <m/>
    <m/>
    <n v="15368.26"/>
    <n v="15040.77"/>
    <n v="3271.4700000000003"/>
    <n v="3587.27"/>
    <n v="16265.39"/>
    <n v="19149.560000000001"/>
    <n v="34905.119999999995"/>
    <n v="34905.119999999995"/>
    <n v="62"/>
    <n v="1163.5039999999999"/>
    <n v="37777.600000000006"/>
    <n v="37777.600000000006"/>
    <n v="741"/>
    <n v="1259.2533333333336"/>
    <m/>
    <m/>
    <m/>
    <m/>
    <m/>
    <m/>
    <m/>
    <m/>
    <n v="0"/>
    <n v="0"/>
    <m/>
    <n v="0"/>
    <n v="0"/>
    <n v="0"/>
    <m/>
    <n v="0"/>
  </r>
  <r>
    <x v="11"/>
    <s v="Northeastern Technical College"/>
    <n v="217837"/>
    <x v="8"/>
    <s v="sem"/>
    <s v="sem"/>
    <m/>
    <m/>
    <n v="11084.71"/>
    <n v="9290.5400000000009"/>
    <n v="5602.93"/>
    <n v="5077.67"/>
    <n v="10890.41"/>
    <n v="11295.65"/>
    <n v="27578.05"/>
    <n v="27578.05"/>
    <n v="193"/>
    <n v="919.26833333333332"/>
    <n v="25663.86"/>
    <n v="25663.86"/>
    <n v="557"/>
    <n v="855.46199999999999"/>
    <m/>
    <m/>
    <m/>
    <m/>
    <m/>
    <m/>
    <m/>
    <m/>
    <n v="0"/>
    <n v="0"/>
    <m/>
    <n v="0"/>
    <n v="0"/>
    <n v="0"/>
    <m/>
    <n v="0"/>
  </r>
  <r>
    <x v="11"/>
    <s v="Technical College of the Low Country"/>
    <n v="217712"/>
    <x v="8"/>
    <s v="sem"/>
    <s v="sem"/>
    <m/>
    <m/>
    <n v="17011.510000000002"/>
    <n v="17323.27"/>
    <n v="7623.93"/>
    <n v="7570.6"/>
    <n v="19059.37"/>
    <n v="20877.580000000002"/>
    <n v="43694.81"/>
    <n v="43694.81"/>
    <n v="2145"/>
    <n v="1456.4936666666665"/>
    <n v="45771.450000000004"/>
    <n v="45771.450000000004"/>
    <n v="2767"/>
    <n v="1525.7150000000001"/>
    <m/>
    <m/>
    <m/>
    <m/>
    <m/>
    <m/>
    <m/>
    <m/>
    <n v="0"/>
    <n v="0"/>
    <m/>
    <n v="0"/>
    <n v="0"/>
    <n v="0"/>
    <m/>
    <n v="0"/>
  </r>
  <r>
    <x v="11"/>
    <s v="University of South Carolina-Lancaster"/>
    <n v="218672"/>
    <x v="8"/>
    <s v="sem"/>
    <s v="sem"/>
    <m/>
    <m/>
    <n v="11785"/>
    <n v="12818"/>
    <n v="1804"/>
    <n v="1749"/>
    <n v="14939"/>
    <n v="16184"/>
    <n v="28528"/>
    <n v="28528"/>
    <n v="2217"/>
    <n v="950.93333333333328"/>
    <n v="30751"/>
    <n v="30751"/>
    <n v="2642"/>
    <n v="1025.0333333333333"/>
    <m/>
    <m/>
    <m/>
    <m/>
    <m/>
    <m/>
    <m/>
    <m/>
    <n v="0"/>
    <n v="0"/>
    <m/>
    <n v="0"/>
    <n v="0"/>
    <n v="0"/>
    <m/>
    <n v="0"/>
  </r>
  <r>
    <x v="11"/>
    <s v="University of South Carolina-Salkehatchie"/>
    <n v="218681"/>
    <x v="8"/>
    <s v="sem"/>
    <s v="sem"/>
    <m/>
    <m/>
    <n v="6790"/>
    <n v="7979"/>
    <n v="820"/>
    <n v="944"/>
    <n v="8960"/>
    <n v="9332"/>
    <n v="16570"/>
    <n v="16570"/>
    <n v="1221"/>
    <n v="552.33333333333337"/>
    <n v="18255"/>
    <n v="18255"/>
    <n v="1230"/>
    <n v="608.5"/>
    <m/>
    <m/>
    <m/>
    <m/>
    <m/>
    <m/>
    <m/>
    <m/>
    <n v="0"/>
    <n v="0"/>
    <m/>
    <n v="0"/>
    <n v="0"/>
    <n v="0"/>
    <m/>
    <n v="0"/>
  </r>
  <r>
    <x v="11"/>
    <s v="University of South Carolina-Sumter"/>
    <n v="218690"/>
    <x v="8"/>
    <s v="sem"/>
    <s v="sem"/>
    <m/>
    <m/>
    <n v="10269"/>
    <n v="11492"/>
    <n v="1562"/>
    <n v="1591"/>
    <n v="12852"/>
    <n v="13020"/>
    <n v="24683"/>
    <n v="24683"/>
    <n v="1643"/>
    <n v="822.76666666666665"/>
    <n v="26103"/>
    <n v="26103"/>
    <n v="2203"/>
    <n v="870.1"/>
    <m/>
    <m/>
    <m/>
    <m/>
    <m/>
    <m/>
    <m/>
    <m/>
    <n v="0"/>
    <n v="0"/>
    <m/>
    <n v="0"/>
    <n v="0"/>
    <n v="0"/>
    <m/>
    <n v="0"/>
  </r>
  <r>
    <x v="11"/>
    <s v="University of South Carolina-Union"/>
    <n v="218706"/>
    <x v="8"/>
    <s v="sem"/>
    <s v="sem"/>
    <m/>
    <m/>
    <n v="3726"/>
    <n v="3832"/>
    <n v="526"/>
    <n v="482"/>
    <n v="3977"/>
    <n v="3723"/>
    <n v="8229"/>
    <n v="8229"/>
    <n v="1985"/>
    <n v="274.3"/>
    <n v="8037"/>
    <n v="8037"/>
    <n v="1922"/>
    <n v="267.89999999999998"/>
    <m/>
    <m/>
    <m/>
    <m/>
    <m/>
    <m/>
    <m/>
    <m/>
    <n v="0"/>
    <n v="0"/>
    <m/>
    <n v="0"/>
    <n v="0"/>
    <n v="0"/>
    <m/>
    <n v="0"/>
  </r>
  <r>
    <x v="11"/>
    <s v="Willamsburg Technical College "/>
    <n v="218955"/>
    <x v="8"/>
    <s v="sem"/>
    <s v="sem"/>
    <m/>
    <m/>
    <n v="5969.87"/>
    <n v="5228.26"/>
    <n v="3504.8500000000004"/>
    <n v="3205.54"/>
    <n v="5643.23"/>
    <n v="6429.28"/>
    <n v="15117.95"/>
    <n v="15117.95"/>
    <n v="781"/>
    <n v="503.93166666666667"/>
    <n v="14863.079999999998"/>
    <n v="14863.079999999998"/>
    <n v="809"/>
    <n v="495.43599999999992"/>
    <m/>
    <m/>
    <m/>
    <m/>
    <m/>
    <m/>
    <m/>
    <m/>
    <n v="0"/>
    <n v="0"/>
    <m/>
    <n v="0"/>
    <n v="0"/>
    <n v="0"/>
    <m/>
    <n v="0"/>
  </r>
  <r>
    <x v="12"/>
    <s v="University of Tennessee, Knoxville"/>
    <n v="221759"/>
    <x v="0"/>
    <s v="sem"/>
    <s v="sem"/>
    <m/>
    <m/>
    <n v="267410"/>
    <n v="279645"/>
    <n v="34605"/>
    <n v="35190"/>
    <n v="295303"/>
    <n v="306235"/>
    <n v="597318"/>
    <n v="597318"/>
    <n v="851"/>
    <n v="19910.599999999999"/>
    <n v="621070"/>
    <n v="621070"/>
    <n v="837"/>
    <n v="20702.333333333332"/>
    <m/>
    <m/>
    <m/>
    <m/>
    <m/>
    <m/>
    <m/>
    <m/>
    <n v="0"/>
    <n v="0"/>
    <m/>
    <n v="0"/>
    <n v="0"/>
    <n v="0"/>
    <m/>
    <n v="0"/>
  </r>
  <r>
    <x v="12"/>
    <s v="University of Memphis"/>
    <n v="220862"/>
    <x v="1"/>
    <s v="sem"/>
    <s v="sem"/>
    <m/>
    <m/>
    <n v="177465"/>
    <n v="176816"/>
    <n v="34919"/>
    <n v="29438"/>
    <n v="192027"/>
    <n v="194725"/>
    <n v="404411"/>
    <n v="404411"/>
    <n v="1576"/>
    <n v="13480.366666666667"/>
    <n v="400979"/>
    <n v="400979"/>
    <n v="2163"/>
    <n v="13365.966666666667"/>
    <m/>
    <m/>
    <m/>
    <m/>
    <m/>
    <m/>
    <m/>
    <m/>
    <n v="0"/>
    <n v="0"/>
    <m/>
    <n v="0"/>
    <n v="0"/>
    <n v="0"/>
    <m/>
    <n v="0"/>
  </r>
  <r>
    <x v="12"/>
    <s v="East Tennessee State University "/>
    <n v="220075"/>
    <x v="2"/>
    <s v="sem"/>
    <s v="sem"/>
    <m/>
    <m/>
    <n v="122747"/>
    <n v="128373"/>
    <n v="23286"/>
    <n v="22086"/>
    <n v="140678"/>
    <n v="144891"/>
    <n v="286711"/>
    <n v="286711"/>
    <n v="569"/>
    <n v="9557.0333333333328"/>
    <n v="295350"/>
    <n v="295350"/>
    <n v="1280"/>
    <n v="9845"/>
    <m/>
    <m/>
    <m/>
    <m/>
    <m/>
    <m/>
    <m/>
    <m/>
    <n v="0"/>
    <n v="0"/>
    <m/>
    <n v="0"/>
    <n v="0"/>
    <n v="0"/>
    <m/>
    <n v="0"/>
  </r>
  <r>
    <x v="12"/>
    <s v="Middle Tennessee State University "/>
    <n v="220978"/>
    <x v="2"/>
    <s v="sem"/>
    <s v="sem"/>
    <m/>
    <m/>
    <n v="247045"/>
    <n v="250712"/>
    <n v="48301"/>
    <n v="41456"/>
    <n v="274075"/>
    <n v="280002"/>
    <n v="569421"/>
    <n v="569421"/>
    <n v="1426"/>
    <n v="18980.7"/>
    <n v="572170"/>
    <n v="572170"/>
    <n v="1463"/>
    <n v="19072.333333333332"/>
    <m/>
    <m/>
    <m/>
    <m/>
    <m/>
    <m/>
    <m/>
    <m/>
    <n v="0"/>
    <n v="0"/>
    <m/>
    <n v="0"/>
    <n v="0"/>
    <n v="0"/>
    <m/>
    <n v="0"/>
  </r>
  <r>
    <x v="12"/>
    <s v="Tennessee State University "/>
    <n v="221838"/>
    <x v="2"/>
    <s v="sem"/>
    <s v="sem"/>
    <m/>
    <m/>
    <n v="89770"/>
    <n v="87569"/>
    <n v="12931"/>
    <n v="9895"/>
    <n v="95019"/>
    <n v="84732"/>
    <n v="197720"/>
    <n v="197720"/>
    <n v="0"/>
    <n v="6590.666666666667"/>
    <n v="182196"/>
    <n v="182196"/>
    <n v="0"/>
    <n v="6073.2"/>
    <m/>
    <m/>
    <m/>
    <m/>
    <m/>
    <m/>
    <m/>
    <m/>
    <n v="0"/>
    <n v="0"/>
    <m/>
    <n v="0"/>
    <n v="0"/>
    <n v="0"/>
    <m/>
    <n v="0"/>
  </r>
  <r>
    <x v="12"/>
    <s v="University of Tennessee at Chattanooga"/>
    <n v="221740"/>
    <x v="2"/>
    <s v="sem"/>
    <s v="sem"/>
    <m/>
    <m/>
    <n v="90876"/>
    <n v="97708"/>
    <n v="11262"/>
    <n v="15424"/>
    <n v="109743"/>
    <n v="113440"/>
    <n v="211881"/>
    <n v="211881"/>
    <n v="528"/>
    <n v="7062.7"/>
    <n v="226572"/>
    <n v="226572"/>
    <n v="421"/>
    <n v="7552.4"/>
    <m/>
    <m/>
    <m/>
    <m/>
    <m/>
    <m/>
    <m/>
    <m/>
    <n v="0"/>
    <n v="0"/>
    <m/>
    <n v="0"/>
    <n v="0"/>
    <n v="0"/>
    <m/>
    <n v="0"/>
  </r>
  <r>
    <x v="12"/>
    <s v="Austin Peay State University "/>
    <n v="219602"/>
    <x v="3"/>
    <s v="sem"/>
    <s v="sem"/>
    <m/>
    <m/>
    <n v="92022"/>
    <n v="90711"/>
    <n v="20595"/>
    <n v="20505"/>
    <n v="101432"/>
    <n v="105826"/>
    <n v="214049"/>
    <n v="214049"/>
    <n v="179"/>
    <n v="7134.9666666666662"/>
    <n v="217042"/>
    <n v="217042"/>
    <n v="975"/>
    <n v="7234.7333333333336"/>
    <m/>
    <m/>
    <m/>
    <m/>
    <m/>
    <m/>
    <m/>
    <m/>
    <n v="0"/>
    <n v="0"/>
    <m/>
    <n v="0"/>
    <n v="0"/>
    <n v="0"/>
    <m/>
    <n v="0"/>
  </r>
  <r>
    <x v="12"/>
    <s v="Tennessee Technological University "/>
    <n v="221847"/>
    <x v="3"/>
    <s v="sem"/>
    <s v="sem"/>
    <m/>
    <m/>
    <n v="94994"/>
    <n v="100323"/>
    <n v="10540"/>
    <n v="10467"/>
    <n v="109516"/>
    <n v="113274"/>
    <n v="215050"/>
    <n v="215050"/>
    <n v="272"/>
    <n v="7168.333333333333"/>
    <n v="224064"/>
    <n v="224064"/>
    <n v="341"/>
    <n v="7468.8"/>
    <m/>
    <m/>
    <m/>
    <m/>
    <m/>
    <m/>
    <m/>
    <m/>
    <n v="0"/>
    <n v="0"/>
    <m/>
    <n v="0"/>
    <n v="0"/>
    <n v="0"/>
    <m/>
    <n v="0"/>
  </r>
  <r>
    <x v="12"/>
    <s v="University of Tennessee at Martin"/>
    <n v="221768"/>
    <x v="4"/>
    <s v="sem"/>
    <s v="sem"/>
    <m/>
    <m/>
    <n v="79672"/>
    <n v="82532"/>
    <n v="12038"/>
    <n v="10712"/>
    <n v="88473"/>
    <n v="91420"/>
    <n v="180183"/>
    <n v="180183"/>
    <n v="5861"/>
    <n v="6006.1"/>
    <n v="184664"/>
    <n v="184664"/>
    <n v="6044"/>
    <n v="6155.4666666666662"/>
    <m/>
    <m/>
    <m/>
    <m/>
    <m/>
    <m/>
    <m/>
    <m/>
    <n v="0"/>
    <n v="0"/>
    <m/>
    <n v="0"/>
    <n v="0"/>
    <n v="0"/>
    <m/>
    <n v="0"/>
  </r>
  <r>
    <x v="12"/>
    <s v="Chattanooga State Technical Community College "/>
    <n v="219824"/>
    <x v="6"/>
    <s v="sem"/>
    <s v="sem"/>
    <m/>
    <m/>
    <n v="67376"/>
    <n v="66587"/>
    <n v="14443"/>
    <n v="13892"/>
    <n v="75655"/>
    <n v="80011"/>
    <n v="157474"/>
    <n v="157474"/>
    <n v="11514"/>
    <n v="5249.1333333333332"/>
    <n v="160490"/>
    <n v="160490"/>
    <n v="10495"/>
    <n v="5349.666666666667"/>
    <m/>
    <m/>
    <m/>
    <m/>
    <m/>
    <m/>
    <m/>
    <m/>
    <n v="0"/>
    <n v="0"/>
    <m/>
    <n v="0"/>
    <n v="0"/>
    <n v="0"/>
    <m/>
    <n v="0"/>
  </r>
  <r>
    <x v="12"/>
    <s v="Pellissippi State Technical Community College"/>
    <n v="221643"/>
    <x v="6"/>
    <s v="sem"/>
    <s v="sem"/>
    <m/>
    <m/>
    <n v="73451"/>
    <n v="78038"/>
    <n v="17031"/>
    <n v="19342"/>
    <n v="81692"/>
    <n v="85295"/>
    <n v="172174"/>
    <n v="172174"/>
    <n v="2904"/>
    <n v="5739.1333333333332"/>
    <n v="182675"/>
    <n v="182675"/>
    <n v="3523"/>
    <n v="6089.166666666667"/>
    <m/>
    <m/>
    <m/>
    <m/>
    <m/>
    <m/>
    <m/>
    <m/>
    <n v="0"/>
    <n v="0"/>
    <m/>
    <n v="0"/>
    <n v="0"/>
    <n v="0"/>
    <m/>
    <n v="0"/>
  </r>
  <r>
    <x v="12"/>
    <s v="Southwest Tennessee Community College"/>
    <n v="221485"/>
    <x v="6"/>
    <s v="sem"/>
    <s v="sem"/>
    <m/>
    <m/>
    <n v="99966"/>
    <n v="95628"/>
    <n v="34575"/>
    <n v="30543"/>
    <n v="101909"/>
    <n v="108283"/>
    <n v="236450"/>
    <n v="236450"/>
    <n v="1047"/>
    <n v="7881.666666666667"/>
    <n v="234454"/>
    <n v="234454"/>
    <n v="1173"/>
    <n v="7815.1333333333332"/>
    <m/>
    <m/>
    <m/>
    <m/>
    <m/>
    <m/>
    <m/>
    <m/>
    <n v="0"/>
    <n v="0"/>
    <m/>
    <n v="0"/>
    <n v="0"/>
    <n v="0"/>
    <m/>
    <n v="0"/>
  </r>
  <r>
    <x v="12"/>
    <s v="Cleveland State Community College "/>
    <n v="219879"/>
    <x v="7"/>
    <s v="sem"/>
    <s v="sem"/>
    <m/>
    <m/>
    <n v="26206"/>
    <n v="28197"/>
    <n v="4050"/>
    <n v="5104"/>
    <n v="30333"/>
    <n v="32924"/>
    <n v="60589"/>
    <n v="60589"/>
    <n v="1786"/>
    <n v="2019.6333333333334"/>
    <n v="66225"/>
    <n v="66225"/>
    <n v="2603"/>
    <n v="2207.5"/>
    <m/>
    <m/>
    <m/>
    <m/>
    <m/>
    <m/>
    <m/>
    <m/>
    <n v="0"/>
    <n v="0"/>
    <m/>
    <n v="0"/>
    <n v="0"/>
    <n v="0"/>
    <m/>
    <n v="0"/>
  </r>
  <r>
    <x v="12"/>
    <s v="Columbia State Community College "/>
    <n v="219888"/>
    <x v="7"/>
    <s v="sem"/>
    <s v="sem"/>
    <m/>
    <m/>
    <n v="39521"/>
    <n v="40903"/>
    <n v="8250"/>
    <n v="8676"/>
    <n v="45049"/>
    <n v="46216"/>
    <n v="92820"/>
    <n v="92820"/>
    <n v="2327"/>
    <n v="3094"/>
    <n v="95795"/>
    <n v="95795"/>
    <n v="3587"/>
    <n v="3193.1666666666665"/>
    <m/>
    <m/>
    <m/>
    <m/>
    <m/>
    <m/>
    <m/>
    <m/>
    <n v="0"/>
    <n v="0"/>
    <m/>
    <n v="0"/>
    <n v="0"/>
    <n v="0"/>
    <m/>
    <n v="0"/>
  </r>
  <r>
    <x v="12"/>
    <s v="Jackson State Community College "/>
    <n v="220400"/>
    <x v="7"/>
    <s v="sem"/>
    <s v="sem"/>
    <m/>
    <m/>
    <n v="38686"/>
    <n v="39424"/>
    <n v="9603"/>
    <n v="10798"/>
    <n v="44296"/>
    <n v="42051"/>
    <n v="92585"/>
    <n v="92585"/>
    <n v="886"/>
    <n v="3086.1666666666665"/>
    <n v="92273"/>
    <n v="92273"/>
    <n v="2353"/>
    <n v="3075.7666666666669"/>
    <m/>
    <m/>
    <m/>
    <m/>
    <m/>
    <m/>
    <m/>
    <m/>
    <n v="0"/>
    <n v="0"/>
    <m/>
    <n v="0"/>
    <n v="0"/>
    <n v="0"/>
    <m/>
    <n v="0"/>
  </r>
  <r>
    <x v="12"/>
    <s v="Motlow State Community College "/>
    <n v="221096"/>
    <x v="7"/>
    <s v="sem"/>
    <s v="sem"/>
    <m/>
    <m/>
    <n v="35799"/>
    <n v="39112"/>
    <n v="5366"/>
    <n v="6787"/>
    <n v="41078"/>
    <n v="43378"/>
    <n v="82243"/>
    <n v="82243"/>
    <n v="2948"/>
    <n v="2741.4333333333334"/>
    <n v="89277"/>
    <n v="89277"/>
    <n v="2974"/>
    <n v="2975.9"/>
    <m/>
    <m/>
    <m/>
    <m/>
    <m/>
    <m/>
    <m/>
    <m/>
    <n v="0"/>
    <n v="0"/>
    <m/>
    <n v="0"/>
    <n v="0"/>
    <n v="0"/>
    <m/>
    <n v="0"/>
  </r>
  <r>
    <x v="12"/>
    <s v="Nashville State Technical Community College"/>
    <n v="221184"/>
    <x v="7"/>
    <s v="sem"/>
    <s v="sem"/>
    <m/>
    <m/>
    <n v="57902"/>
    <n v="57887"/>
    <n v="15166"/>
    <n v="17138"/>
    <n v="60939"/>
    <n v="64723"/>
    <n v="134007"/>
    <n v="134007"/>
    <n v="2094"/>
    <n v="4466.8999999999996"/>
    <n v="139748"/>
    <n v="139748"/>
    <n v="3651"/>
    <n v="4658.2666666666664"/>
    <m/>
    <m/>
    <m/>
    <m/>
    <m/>
    <m/>
    <m/>
    <m/>
    <n v="0"/>
    <n v="0"/>
    <m/>
    <n v="0"/>
    <n v="0"/>
    <n v="0"/>
    <m/>
    <n v="0"/>
  </r>
  <r>
    <x v="12"/>
    <s v="Northeast State Technical Community College"/>
    <n v="221908"/>
    <x v="7"/>
    <s v="sem"/>
    <s v="sem"/>
    <m/>
    <m/>
    <n v="45987"/>
    <n v="46909"/>
    <n v="10136"/>
    <n v="10318"/>
    <n v="50798"/>
    <n v="54086"/>
    <n v="106921"/>
    <n v="106921"/>
    <n v="1420"/>
    <n v="3564.0333333333333"/>
    <n v="111313"/>
    <n v="111313"/>
    <n v="2391"/>
    <n v="3710.4333333333334"/>
    <m/>
    <m/>
    <m/>
    <m/>
    <m/>
    <m/>
    <m/>
    <m/>
    <n v="0"/>
    <n v="0"/>
    <m/>
    <n v="0"/>
    <n v="0"/>
    <n v="0"/>
    <m/>
    <n v="0"/>
  </r>
  <r>
    <x v="12"/>
    <s v="Roane State Community College "/>
    <n v="221397"/>
    <x v="7"/>
    <s v="sem"/>
    <s v="sem"/>
    <m/>
    <m/>
    <n v="49107"/>
    <n v="50491"/>
    <n v="7002"/>
    <n v="6892"/>
    <n v="56454"/>
    <n v="56492"/>
    <n v="112563"/>
    <n v="112563"/>
    <n v="3099"/>
    <n v="3752.1"/>
    <n v="113875"/>
    <n v="113875"/>
    <n v="4113"/>
    <n v="3795.8333333333335"/>
    <m/>
    <m/>
    <m/>
    <m/>
    <m/>
    <m/>
    <m/>
    <m/>
    <n v="0"/>
    <n v="0"/>
    <m/>
    <n v="0"/>
    <n v="0"/>
    <n v="0"/>
    <m/>
    <n v="0"/>
  </r>
  <r>
    <x v="12"/>
    <s v="Volunteer State Community College "/>
    <n v="222053"/>
    <x v="7"/>
    <s v="sem"/>
    <s v="sem"/>
    <m/>
    <m/>
    <n v="60594"/>
    <n v="59251"/>
    <n v="15752"/>
    <n v="15518"/>
    <n v="66401"/>
    <n v="68735"/>
    <n v="142747"/>
    <n v="142747"/>
    <n v="8980"/>
    <n v="4758.2333333333336"/>
    <n v="143504"/>
    <n v="143504"/>
    <n v="8757"/>
    <n v="4783.4666666666662"/>
    <m/>
    <m/>
    <m/>
    <m/>
    <m/>
    <m/>
    <m/>
    <m/>
    <n v="0"/>
    <n v="0"/>
    <m/>
    <n v="0"/>
    <n v="0"/>
    <n v="0"/>
    <m/>
    <n v="0"/>
  </r>
  <r>
    <x v="12"/>
    <s v="Walters State Community College "/>
    <n v="222062"/>
    <x v="7"/>
    <s v="sem"/>
    <s v="sem"/>
    <m/>
    <m/>
    <n v="51004"/>
    <n v="52942"/>
    <n v="10489"/>
    <n v="10613"/>
    <n v="58262"/>
    <n v="61230"/>
    <n v="119755"/>
    <n v="119755"/>
    <n v="5511"/>
    <n v="3991.8333333333335"/>
    <n v="124785"/>
    <n v="124785"/>
    <n v="6394"/>
    <n v="4159.5"/>
    <m/>
    <m/>
    <m/>
    <m/>
    <m/>
    <s v=" "/>
    <m/>
    <m/>
    <n v="0"/>
    <n v="0"/>
    <m/>
    <n v="0"/>
    <n v="0"/>
    <n v="0"/>
    <m/>
    <n v="0"/>
  </r>
  <r>
    <x v="12"/>
    <s v="Dyersburg State Community College "/>
    <n v="220057"/>
    <x v="8"/>
    <s v="sem"/>
    <s v="sem"/>
    <m/>
    <m/>
    <n v="23047"/>
    <n v="22096"/>
    <n v="3303"/>
    <n v="3333"/>
    <n v="25026"/>
    <n v="26113"/>
    <n v="51376"/>
    <n v="51376"/>
    <n v="2361"/>
    <n v="1712.5333333333333"/>
    <n v="51542"/>
    <n v="51542"/>
    <n v="3629"/>
    <n v="1718.0666666666666"/>
    <m/>
    <m/>
    <m/>
    <m/>
    <m/>
    <m/>
    <m/>
    <m/>
    <n v="0"/>
    <n v="0"/>
    <m/>
    <n v="0"/>
    <n v="0"/>
    <n v="0"/>
    <m/>
    <n v="0"/>
  </r>
  <r>
    <x v="12"/>
    <s v="Tennessee Technology Center at Athens"/>
    <n v="219596"/>
    <x v="10"/>
    <s v="sem"/>
    <s v="sem"/>
    <m/>
    <m/>
    <m/>
    <m/>
    <m/>
    <m/>
    <m/>
    <m/>
    <n v="0"/>
    <n v="0"/>
    <m/>
    <n v="0"/>
    <n v="0"/>
    <n v="0"/>
    <m/>
    <n v="0"/>
    <m/>
    <m/>
    <n v="66332"/>
    <n v="85116"/>
    <n v="61686"/>
    <n v="84080"/>
    <n v="82642"/>
    <n v="85132"/>
    <n v="210660"/>
    <n v="0"/>
    <s v="—"/>
    <n v="234.06666666666666"/>
    <n v="254328"/>
    <n v="0"/>
    <s v="—"/>
    <n v="282.58666666666664"/>
  </r>
  <r>
    <x v="12"/>
    <s v="Tennessee Technology Center at Chattanooga"/>
    <s v="219824B"/>
    <x v="10"/>
    <s v="sem"/>
    <s v="sem"/>
    <m/>
    <m/>
    <m/>
    <m/>
    <m/>
    <m/>
    <m/>
    <m/>
    <n v="0"/>
    <n v="0"/>
    <m/>
    <n v="0"/>
    <n v="0"/>
    <n v="0"/>
    <m/>
    <n v="0"/>
    <m/>
    <m/>
    <n v="246642"/>
    <n v="282622"/>
    <n v="157762"/>
    <n v="183284"/>
    <n v="290041"/>
    <n v="330503"/>
    <n v="694445"/>
    <n v="0"/>
    <s v="—"/>
    <n v="771.60555555555561"/>
    <n v="796409"/>
    <n v="0"/>
    <s v="—"/>
    <n v="884.89888888888891"/>
  </r>
  <r>
    <x v="12"/>
    <s v="Tennessee Technology Center at Covington"/>
    <n v="219921"/>
    <x v="10"/>
    <s v="sem"/>
    <s v="sem"/>
    <m/>
    <m/>
    <m/>
    <m/>
    <m/>
    <m/>
    <m/>
    <m/>
    <n v="0"/>
    <n v="0"/>
    <m/>
    <n v="0"/>
    <n v="0"/>
    <n v="0"/>
    <m/>
    <n v="0"/>
    <m/>
    <m/>
    <n v="43960"/>
    <n v="50201"/>
    <n v="32070"/>
    <n v="45434"/>
    <n v="51296"/>
    <n v="65644"/>
    <n v="127326"/>
    <n v="0"/>
    <s v="—"/>
    <n v="141.47333333333333"/>
    <n v="161279"/>
    <n v="0"/>
    <s v="—"/>
    <n v="179.19888888888889"/>
  </r>
  <r>
    <x v="12"/>
    <s v="Tennessee Technology Center at Crossville"/>
    <n v="221591"/>
    <x v="10"/>
    <s v="sem"/>
    <s v="sem"/>
    <m/>
    <m/>
    <m/>
    <m/>
    <m/>
    <m/>
    <m/>
    <m/>
    <n v="0"/>
    <n v="0"/>
    <m/>
    <n v="0"/>
    <n v="0"/>
    <n v="0"/>
    <m/>
    <n v="0"/>
    <m/>
    <m/>
    <n v="108841"/>
    <n v="107793"/>
    <n v="78103"/>
    <n v="95938"/>
    <n v="113575"/>
    <n v="131254"/>
    <n v="300519"/>
    <n v="0"/>
    <s v="—"/>
    <n v="333.91"/>
    <n v="334985"/>
    <n v="0"/>
    <s v="—"/>
    <n v="372.20555555555558"/>
  </r>
  <r>
    <x v="12"/>
    <s v="Tennessee Technology Center at Crump"/>
    <n v="221430"/>
    <x v="10"/>
    <s v="sem"/>
    <s v="sem"/>
    <m/>
    <m/>
    <m/>
    <m/>
    <m/>
    <m/>
    <m/>
    <m/>
    <n v="0"/>
    <n v="0"/>
    <m/>
    <n v="0"/>
    <n v="0"/>
    <n v="0"/>
    <m/>
    <n v="0"/>
    <m/>
    <m/>
    <n v="79403"/>
    <n v="77807"/>
    <n v="68152"/>
    <n v="70438"/>
    <n v="80436"/>
    <n v="84087"/>
    <n v="227991"/>
    <n v="0"/>
    <s v="—"/>
    <n v="253.32333333333332"/>
    <n v="232332"/>
    <n v="0"/>
    <s v="—"/>
    <n v="258.14666666666665"/>
  </r>
  <r>
    <x v="12"/>
    <s v="Tennessee Technology Center at Dickson"/>
    <n v="219994"/>
    <x v="10"/>
    <s v="sem"/>
    <s v="sem"/>
    <m/>
    <m/>
    <m/>
    <m/>
    <m/>
    <m/>
    <m/>
    <m/>
    <n v="0"/>
    <n v="0"/>
    <m/>
    <n v="0"/>
    <n v="0"/>
    <n v="0"/>
    <m/>
    <n v="0"/>
    <m/>
    <m/>
    <n v="139714"/>
    <n v="145228"/>
    <n v="130374"/>
    <n v="143510"/>
    <n v="155102"/>
    <n v="166274"/>
    <n v="425190"/>
    <n v="0"/>
    <s v="—"/>
    <n v="472.43333333333334"/>
    <n v="455012"/>
    <n v="0"/>
    <s v="—"/>
    <n v="505.56888888888886"/>
  </r>
  <r>
    <x v="12"/>
    <s v="Tennessee Technology Center at Elizabethton"/>
    <n v="220127"/>
    <x v="10"/>
    <s v="sem"/>
    <s v="sem"/>
    <m/>
    <m/>
    <m/>
    <m/>
    <m/>
    <m/>
    <m/>
    <m/>
    <n v="0"/>
    <n v="0"/>
    <m/>
    <n v="0"/>
    <n v="0"/>
    <n v="0"/>
    <m/>
    <n v="0"/>
    <m/>
    <m/>
    <n v="147241"/>
    <n v="162439"/>
    <n v="139113"/>
    <n v="153363"/>
    <n v="150913"/>
    <n v="154189"/>
    <n v="437267"/>
    <n v="0"/>
    <s v="—"/>
    <n v="485.85222222222222"/>
    <n v="469991"/>
    <n v="0"/>
    <s v="—"/>
    <n v="522.21222222222218"/>
  </r>
  <r>
    <x v="12"/>
    <s v="Tennessee Technology Center at Harriman"/>
    <n v="220251"/>
    <x v="10"/>
    <s v="sem"/>
    <s v="sem"/>
    <m/>
    <m/>
    <m/>
    <m/>
    <m/>
    <m/>
    <m/>
    <m/>
    <n v="0"/>
    <n v="0"/>
    <m/>
    <n v="0"/>
    <n v="0"/>
    <n v="0"/>
    <m/>
    <n v="0"/>
    <m/>
    <m/>
    <n v="60712"/>
    <n v="63627"/>
    <n v="56890"/>
    <n v="67253"/>
    <n v="70730"/>
    <n v="93494"/>
    <n v="188332"/>
    <n v="0"/>
    <s v="—"/>
    <n v="209.25777777777779"/>
    <n v="224374"/>
    <n v="0"/>
    <s v="—"/>
    <n v="249.30444444444444"/>
  </r>
  <r>
    <x v="12"/>
    <s v="Tennessee Technology Center at Hartsville"/>
    <n v="220279"/>
    <x v="10"/>
    <s v="sem"/>
    <s v="sem"/>
    <m/>
    <m/>
    <m/>
    <m/>
    <m/>
    <m/>
    <m/>
    <m/>
    <n v="0"/>
    <n v="0"/>
    <m/>
    <n v="0"/>
    <n v="0"/>
    <n v="0"/>
    <m/>
    <n v="0"/>
    <m/>
    <m/>
    <n v="69301"/>
    <n v="72841"/>
    <n v="60735"/>
    <n v="75756"/>
    <n v="75233"/>
    <n v="119218"/>
    <n v="205269"/>
    <n v="0"/>
    <s v="—"/>
    <n v="228.07666666666665"/>
    <n v="267815"/>
    <n v="0"/>
    <s v="—"/>
    <n v="297.57222222222219"/>
  </r>
  <r>
    <x v="12"/>
    <s v="Tennessee Technology Center at Hohenwald"/>
    <n v="220321"/>
    <x v="10"/>
    <s v="sem"/>
    <s v="sem"/>
    <m/>
    <m/>
    <m/>
    <m/>
    <m/>
    <m/>
    <m/>
    <m/>
    <n v="0"/>
    <n v="0"/>
    <m/>
    <n v="0"/>
    <n v="0"/>
    <n v="0"/>
    <m/>
    <n v="0"/>
    <m/>
    <m/>
    <n v="128578"/>
    <n v="138721"/>
    <n v="102471"/>
    <n v="110226"/>
    <n v="138796"/>
    <n v="129947"/>
    <n v="369845"/>
    <n v="0"/>
    <s v="—"/>
    <n v="410.93888888888887"/>
    <n v="378894"/>
    <n v="0"/>
    <s v="—"/>
    <n v="420.99333333333334"/>
  </r>
  <r>
    <x v="12"/>
    <s v="Tennessee Technology Center at Jacksboro"/>
    <n v="220394"/>
    <x v="10"/>
    <s v="sem"/>
    <s v="sem"/>
    <m/>
    <m/>
    <m/>
    <m/>
    <m/>
    <m/>
    <m/>
    <m/>
    <n v="0"/>
    <n v="0"/>
    <m/>
    <n v="0"/>
    <n v="0"/>
    <n v="0"/>
    <m/>
    <n v="0"/>
    <m/>
    <m/>
    <n v="47466"/>
    <n v="50201"/>
    <n v="45720"/>
    <n v="44667"/>
    <n v="53421"/>
    <n v="63073"/>
    <n v="146607"/>
    <n v="0"/>
    <s v="—"/>
    <n v="162.89666666666668"/>
    <n v="157941"/>
    <n v="0"/>
    <s v="—"/>
    <n v="175.49"/>
  </r>
  <r>
    <x v="12"/>
    <s v="Tennessee Technology Center at Jackson"/>
    <n v="221616"/>
    <x v="10"/>
    <s v="sem"/>
    <s v="sem"/>
    <m/>
    <m/>
    <m/>
    <m/>
    <m/>
    <m/>
    <m/>
    <m/>
    <n v="0"/>
    <n v="0"/>
    <m/>
    <n v="0"/>
    <n v="0"/>
    <n v="0"/>
    <m/>
    <n v="0"/>
    <m/>
    <m/>
    <n v="156268"/>
    <n v="172479"/>
    <n v="153135"/>
    <n v="171979"/>
    <n v="175305"/>
    <n v="187537"/>
    <n v="484708"/>
    <n v="0"/>
    <s v="—"/>
    <n v="538.56444444444446"/>
    <n v="531995"/>
    <n v="0"/>
    <s v="—"/>
    <n v="591.10555555555561"/>
  </r>
  <r>
    <x v="12"/>
    <s v="Tennessee Technology Center at Knoxville"/>
    <n v="221625"/>
    <x v="10"/>
    <s v="sem"/>
    <s v="sem"/>
    <m/>
    <m/>
    <m/>
    <m/>
    <m/>
    <m/>
    <m/>
    <m/>
    <n v="0"/>
    <n v="0"/>
    <m/>
    <n v="0"/>
    <n v="0"/>
    <n v="0"/>
    <m/>
    <n v="0"/>
    <m/>
    <m/>
    <n v="149669"/>
    <n v="186513"/>
    <n v="149598"/>
    <n v="192756"/>
    <n v="187554"/>
    <n v="218637"/>
    <n v="486821"/>
    <n v="0"/>
    <s v="—"/>
    <n v="540.91222222222223"/>
    <n v="597906"/>
    <n v="0"/>
    <s v="—"/>
    <n v="664.34"/>
  </r>
  <r>
    <x v="12"/>
    <s v="Tennessee Technology Center at Livingston"/>
    <n v="220640"/>
    <x v="10"/>
    <s v="sem"/>
    <s v="sem"/>
    <m/>
    <m/>
    <m/>
    <m/>
    <m/>
    <m/>
    <m/>
    <m/>
    <n v="0"/>
    <n v="0"/>
    <m/>
    <n v="0"/>
    <n v="0"/>
    <n v="0"/>
    <m/>
    <n v="0"/>
    <m/>
    <m/>
    <n v="121582"/>
    <n v="150732"/>
    <n v="112702"/>
    <n v="124841"/>
    <n v="160376"/>
    <n v="149280"/>
    <n v="394660"/>
    <n v="0"/>
    <s v="—"/>
    <n v="438.51111111111112"/>
    <n v="424853"/>
    <n v="0"/>
    <s v="—"/>
    <n v="472.05888888888887"/>
  </r>
  <r>
    <x v="12"/>
    <s v="Tennessee Technology Center at McKenzie"/>
    <n v="220756"/>
    <x v="10"/>
    <s v="sem"/>
    <s v="sem"/>
    <m/>
    <m/>
    <m/>
    <m/>
    <m/>
    <m/>
    <m/>
    <m/>
    <n v="0"/>
    <n v="0"/>
    <m/>
    <n v="0"/>
    <n v="0"/>
    <n v="0"/>
    <m/>
    <n v="0"/>
    <m/>
    <m/>
    <n v="80333"/>
    <n v="85650"/>
    <n v="71973"/>
    <n v="74290"/>
    <n v="88098"/>
    <n v="95402"/>
    <n v="240404"/>
    <n v="0"/>
    <s v="—"/>
    <n v="267.11555555555555"/>
    <n v="255342"/>
    <n v="0"/>
    <s v="—"/>
    <n v="283.71333333333331"/>
  </r>
  <r>
    <x v="12"/>
    <s v="Tennessee Technology Center at McMinnville"/>
    <n v="221607"/>
    <x v="10"/>
    <s v="sem"/>
    <s v="sem"/>
    <m/>
    <m/>
    <m/>
    <m/>
    <m/>
    <m/>
    <m/>
    <m/>
    <n v="0"/>
    <n v="0"/>
    <m/>
    <n v="0"/>
    <n v="0"/>
    <n v="0"/>
    <m/>
    <n v="0"/>
    <m/>
    <m/>
    <n v="88251"/>
    <n v="72144"/>
    <n v="85528"/>
    <n v="71465"/>
    <n v="74584"/>
    <n v="88486"/>
    <n v="248363"/>
    <n v="0"/>
    <s v="—"/>
    <n v="275.95888888888891"/>
    <n v="232095"/>
    <n v="0"/>
    <s v="—"/>
    <n v="257.88333333333333"/>
  </r>
  <r>
    <x v="12"/>
    <s v="Tennessee Technology Center at Memphis"/>
    <n v="220853"/>
    <x v="10"/>
    <s v="sem"/>
    <s v="sem"/>
    <m/>
    <m/>
    <m/>
    <m/>
    <m/>
    <m/>
    <m/>
    <m/>
    <n v="0"/>
    <n v="0"/>
    <m/>
    <n v="0"/>
    <n v="0"/>
    <n v="0"/>
    <m/>
    <n v="0"/>
    <m/>
    <m/>
    <n v="261510"/>
    <n v="256106"/>
    <n v="239366"/>
    <n v="227890"/>
    <n v="271940"/>
    <n v="244138"/>
    <n v="772816"/>
    <n v="0"/>
    <s v="—"/>
    <n v="858.68444444444447"/>
    <n v="728134"/>
    <n v="0"/>
    <s v="—"/>
    <n v="809.03777777777782"/>
  </r>
  <r>
    <x v="12"/>
    <s v="Tennessee Technology Center at Morristown"/>
    <n v="221050"/>
    <x v="10"/>
    <s v="sem"/>
    <s v="sem"/>
    <m/>
    <m/>
    <m/>
    <m/>
    <m/>
    <m/>
    <m/>
    <m/>
    <n v="0"/>
    <n v="0"/>
    <m/>
    <n v="0"/>
    <n v="0"/>
    <n v="0"/>
    <m/>
    <n v="0"/>
    <m/>
    <m/>
    <n v="191455"/>
    <n v="180931"/>
    <n v="181404"/>
    <n v="173966"/>
    <n v="186495"/>
    <n v="197528"/>
    <n v="559354"/>
    <n v="0"/>
    <s v="—"/>
    <n v="621.5044444444444"/>
    <n v="552425"/>
    <n v="0"/>
    <s v="—"/>
    <n v="613.80555555555554"/>
  </r>
  <r>
    <x v="12"/>
    <s v="Tennessee Technology Center at Murfreesboro"/>
    <n v="221102"/>
    <x v="10"/>
    <s v="sem"/>
    <s v="sem"/>
    <m/>
    <m/>
    <m/>
    <m/>
    <m/>
    <m/>
    <m/>
    <m/>
    <n v="0"/>
    <n v="0"/>
    <m/>
    <n v="0"/>
    <n v="0"/>
    <n v="0"/>
    <m/>
    <n v="0"/>
    <m/>
    <m/>
    <n v="128851"/>
    <n v="130806"/>
    <n v="110515"/>
    <n v="132996"/>
    <n v="132772"/>
    <n v="137140"/>
    <n v="372138"/>
    <n v="0"/>
    <s v="—"/>
    <n v="413.48666666666668"/>
    <n v="400942"/>
    <n v="0"/>
    <s v="—"/>
    <n v="445.49111111111114"/>
  </r>
  <r>
    <x v="12"/>
    <s v="Tennessee Technology Center at Nashville"/>
    <n v="248925"/>
    <x v="10"/>
    <s v="sem"/>
    <s v="sem"/>
    <m/>
    <m/>
    <m/>
    <m/>
    <m/>
    <m/>
    <m/>
    <m/>
    <n v="0"/>
    <n v="0"/>
    <m/>
    <n v="0"/>
    <n v="0"/>
    <n v="0"/>
    <m/>
    <n v="0"/>
    <m/>
    <m/>
    <n v="199923"/>
    <n v="223707"/>
    <n v="173025"/>
    <n v="196070"/>
    <n v="201841"/>
    <n v="221870"/>
    <n v="574789"/>
    <n v="0"/>
    <s v="—"/>
    <n v="638.65444444444449"/>
    <n v="641647"/>
    <n v="0"/>
    <s v="—"/>
    <n v="712.94111111111113"/>
  </r>
  <r>
    <x v="12"/>
    <s v="Tennessee Technology Center at Newbern"/>
    <n v="221236"/>
    <x v="10"/>
    <s v="sem"/>
    <s v="sem"/>
    <m/>
    <m/>
    <m/>
    <m/>
    <m/>
    <m/>
    <m/>
    <m/>
    <n v="0"/>
    <n v="0"/>
    <m/>
    <n v="0"/>
    <n v="0"/>
    <n v="0"/>
    <m/>
    <n v="0"/>
    <m/>
    <m/>
    <n v="61928"/>
    <n v="64564"/>
    <n v="49861"/>
    <n v="52782"/>
    <n v="76985"/>
    <n v="84404"/>
    <n v="188774"/>
    <n v="0"/>
    <s v="—"/>
    <n v="209.7488888888889"/>
    <n v="201750"/>
    <n v="0"/>
    <s v="—"/>
    <n v="224.16666666666666"/>
  </r>
  <r>
    <x v="12"/>
    <s v="Tennessee Technology Center at Oneida"/>
    <n v="221582"/>
    <x v="10"/>
    <s v="sem"/>
    <s v="sem"/>
    <m/>
    <m/>
    <m/>
    <m/>
    <m/>
    <m/>
    <m/>
    <m/>
    <n v="0"/>
    <n v="0"/>
    <m/>
    <n v="0"/>
    <n v="0"/>
    <n v="0"/>
    <m/>
    <n v="0"/>
    <m/>
    <m/>
    <n v="79586"/>
    <n v="85794"/>
    <n v="56003"/>
    <n v="56031"/>
    <n v="98425"/>
    <n v="97416"/>
    <n v="234014"/>
    <n v="0"/>
    <s v="—"/>
    <n v="260.01555555555558"/>
    <n v="239241"/>
    <n v="0"/>
    <s v="—"/>
    <n v="265.82333333333332"/>
  </r>
  <r>
    <x v="12"/>
    <s v="Tennessee Technology Center at Paris"/>
    <n v="221281"/>
    <x v="10"/>
    <s v="sem"/>
    <s v="sem"/>
    <m/>
    <m/>
    <m/>
    <m/>
    <m/>
    <m/>
    <m/>
    <m/>
    <n v="0"/>
    <n v="0"/>
    <m/>
    <n v="0"/>
    <n v="0"/>
    <n v="0"/>
    <m/>
    <n v="0"/>
    <m/>
    <m/>
    <n v="115295"/>
    <n v="106589"/>
    <n v="93214"/>
    <n v="106050"/>
    <n v="117778"/>
    <n v="119050"/>
    <n v="326287"/>
    <n v="0"/>
    <s v="—"/>
    <n v="362.54111111111109"/>
    <n v="331689"/>
    <n v="0"/>
    <s v="—"/>
    <n v="368.54333333333335"/>
  </r>
  <r>
    <x v="12"/>
    <s v="Tennessee Technology Center at Pulaski"/>
    <n v="221333"/>
    <x v="10"/>
    <s v="sem"/>
    <s v="sem"/>
    <m/>
    <m/>
    <m/>
    <m/>
    <m/>
    <m/>
    <m/>
    <m/>
    <n v="0"/>
    <n v="0"/>
    <m/>
    <n v="0"/>
    <n v="0"/>
    <n v="0"/>
    <m/>
    <n v="0"/>
    <m/>
    <m/>
    <n v="109297"/>
    <n v="96821"/>
    <n v="69436"/>
    <n v="64269"/>
    <n v="96698"/>
    <n v="108692"/>
    <n v="275431"/>
    <n v="0"/>
    <s v="—"/>
    <n v="306.03444444444443"/>
    <n v="269782"/>
    <n v="0"/>
    <s v="—"/>
    <n v="299.75777777777779"/>
  </r>
  <r>
    <x v="12"/>
    <s v="Tennessee Technology Center at Ripley"/>
    <n v="221388"/>
    <x v="10"/>
    <s v="sem"/>
    <s v="sem"/>
    <m/>
    <m/>
    <m/>
    <m/>
    <m/>
    <m/>
    <m/>
    <m/>
    <n v="0"/>
    <n v="0"/>
    <m/>
    <n v="0"/>
    <n v="0"/>
    <n v="0"/>
    <m/>
    <n v="0"/>
    <m/>
    <m/>
    <n v="58757"/>
    <n v="46566"/>
    <n v="46780"/>
    <n v="51498"/>
    <n v="44238"/>
    <n v="61821"/>
    <n v="149775"/>
    <n v="0"/>
    <s v="—"/>
    <n v="166.41666666666666"/>
    <n v="159885"/>
    <n v="0"/>
    <s v="—"/>
    <n v="177.65"/>
  </r>
  <r>
    <x v="12"/>
    <s v="Tennessee Technology Center at Shelbyville"/>
    <n v="221494"/>
    <x v="10"/>
    <s v="sem"/>
    <s v="sem"/>
    <m/>
    <m/>
    <m/>
    <m/>
    <m/>
    <m/>
    <m/>
    <m/>
    <n v="0"/>
    <n v="0"/>
    <m/>
    <n v="0"/>
    <n v="0"/>
    <n v="0"/>
    <m/>
    <n v="0"/>
    <m/>
    <m/>
    <n v="148199"/>
    <n v="152767"/>
    <n v="137411"/>
    <n v="139757"/>
    <n v="169204"/>
    <n v="172706"/>
    <n v="454814"/>
    <n v="0"/>
    <s v="—"/>
    <n v="505.34888888888889"/>
    <n v="465230"/>
    <n v="0"/>
    <s v="—"/>
    <n v="516.92222222222222"/>
  </r>
  <r>
    <x v="12"/>
    <s v="Tennessee Technology Center at Whiteville"/>
    <n v="221634"/>
    <x v="10"/>
    <s v="sem"/>
    <s v="sem"/>
    <m/>
    <m/>
    <m/>
    <m/>
    <m/>
    <m/>
    <m/>
    <m/>
    <n v="0"/>
    <n v="0"/>
    <m/>
    <n v="0"/>
    <n v="0"/>
    <n v="0"/>
    <m/>
    <n v="0"/>
    <m/>
    <m/>
    <n v="53071"/>
    <n v="53107"/>
    <n v="46455"/>
    <n v="53371"/>
    <n v="58662"/>
    <n v="60776"/>
    <n v="158188"/>
    <n v="0"/>
    <s v="—"/>
    <n v="175.76444444444445"/>
    <n v="167254"/>
    <n v="0"/>
    <s v="—"/>
    <n v="185.83777777777777"/>
  </r>
  <r>
    <x v="13"/>
    <s v="Texas A &amp; M University "/>
    <n v="228723"/>
    <x v="0"/>
    <s v="sem"/>
    <s v="sem"/>
    <m/>
    <m/>
    <n v="451055"/>
    <n v="465351"/>
    <n v="75237"/>
    <n v="80477"/>
    <n v="501331"/>
    <n v="512032"/>
    <n v="1027623"/>
    <n v="1027623"/>
    <n v="0"/>
    <n v="34254.1"/>
    <n v="1057860"/>
    <n v="1057860"/>
    <n v="0"/>
    <n v="35262"/>
    <m/>
    <m/>
    <m/>
    <m/>
    <m/>
    <m/>
    <m/>
    <m/>
    <n v="0"/>
    <n v="0"/>
    <m/>
    <n v="0"/>
    <n v="0"/>
    <n v="0"/>
    <m/>
    <n v="0"/>
  </r>
  <r>
    <x v="13"/>
    <s v="Texas Tech University "/>
    <n v="229115"/>
    <x v="0"/>
    <s v="sem"/>
    <s v="sem"/>
    <m/>
    <m/>
    <n v="280878"/>
    <n v="282456"/>
    <n v="55732"/>
    <n v="54233"/>
    <n v="313056"/>
    <n v="313686"/>
    <n v="649666"/>
    <n v="649666"/>
    <n v="0"/>
    <n v="21655.533333333333"/>
    <n v="650375"/>
    <n v="650375"/>
    <n v="0"/>
    <n v="21679.166666666668"/>
    <m/>
    <m/>
    <m/>
    <m/>
    <m/>
    <m/>
    <m/>
    <m/>
    <n v="0"/>
    <n v="0"/>
    <m/>
    <n v="0"/>
    <n v="0"/>
    <n v="0"/>
    <m/>
    <n v="0"/>
  </r>
  <r>
    <x v="13"/>
    <s v="University of Houston"/>
    <n v="225511"/>
    <x v="0"/>
    <s v="sem"/>
    <s v="sem"/>
    <m/>
    <m/>
    <n v="293884"/>
    <n v="297732"/>
    <n v="54954"/>
    <n v="57700"/>
    <n v="319708"/>
    <n v="334757"/>
    <n v="668546"/>
    <n v="668546"/>
    <n v="19"/>
    <n v="22284.866666666665"/>
    <n v="690189"/>
    <n v="690189"/>
    <n v="0"/>
    <n v="23006.3"/>
    <m/>
    <m/>
    <m/>
    <m/>
    <m/>
    <m/>
    <m/>
    <m/>
    <n v="0"/>
    <n v="0"/>
    <m/>
    <n v="0"/>
    <n v="0"/>
    <n v="0"/>
    <m/>
    <n v="0"/>
  </r>
  <r>
    <x v="13"/>
    <s v="University of North Texas"/>
    <n v="227216"/>
    <x v="0"/>
    <s v="sem"/>
    <s v="sem"/>
    <m/>
    <m/>
    <n v="302844"/>
    <n v="314042"/>
    <n v="74041"/>
    <n v="79447"/>
    <n v="341594"/>
    <n v="342564"/>
    <n v="718479"/>
    <n v="718479"/>
    <n v="0"/>
    <n v="23949.3"/>
    <n v="736053"/>
    <n v="736053"/>
    <n v="0"/>
    <n v="24535.1"/>
    <m/>
    <m/>
    <m/>
    <m/>
    <m/>
    <m/>
    <m/>
    <m/>
    <n v="0"/>
    <n v="0"/>
    <m/>
    <n v="0"/>
    <n v="0"/>
    <n v="0"/>
    <m/>
    <n v="0"/>
  </r>
  <r>
    <x v="13"/>
    <s v="University of Texas at Arlington"/>
    <n v="228769"/>
    <x v="0"/>
    <s v="sem"/>
    <s v="sem"/>
    <m/>
    <m/>
    <n v="204498"/>
    <n v="205112"/>
    <n v="47358"/>
    <n v="45710"/>
    <n v="218447"/>
    <n v="214709"/>
    <n v="470303"/>
    <n v="470303"/>
    <n v="163"/>
    <n v="15676.766666666666"/>
    <n v="465531"/>
    <n v="465531"/>
    <n v="453"/>
    <n v="15517.7"/>
    <m/>
    <m/>
    <m/>
    <m/>
    <m/>
    <m/>
    <m/>
    <m/>
    <n v="0"/>
    <n v="0"/>
    <m/>
    <n v="0"/>
    <n v="0"/>
    <n v="0"/>
    <m/>
    <n v="0"/>
  </r>
  <r>
    <x v="13"/>
    <s v="University of Texas at Austin"/>
    <n v="228778"/>
    <x v="0"/>
    <s v="sem"/>
    <s v="sem"/>
    <m/>
    <m/>
    <n v="456046"/>
    <n v="465690"/>
    <n v="65849"/>
    <n v="61765"/>
    <n v="497047"/>
    <n v="496145"/>
    <n v="1018942"/>
    <n v="1018942"/>
    <n v="0"/>
    <n v="33964.73333333333"/>
    <n v="1023600"/>
    <n v="1023600"/>
    <n v="0"/>
    <n v="34120"/>
    <m/>
    <m/>
    <m/>
    <m/>
    <m/>
    <m/>
    <m/>
    <m/>
    <n v="0"/>
    <n v="0"/>
    <m/>
    <n v="0"/>
    <n v="0"/>
    <n v="0"/>
    <m/>
    <n v="0"/>
  </r>
  <r>
    <x v="13"/>
    <s v="University of Texas at Dallas"/>
    <n v="228787"/>
    <x v="0"/>
    <s v="sem"/>
    <s v="sem"/>
    <m/>
    <m/>
    <n v="104575"/>
    <n v="105552"/>
    <n v="21713"/>
    <n v="21315"/>
    <n v="113554"/>
    <n v="116180"/>
    <n v="239842"/>
    <n v="239842"/>
    <n v="0"/>
    <n v="7994.7333333333336"/>
    <n v="243047"/>
    <n v="243047"/>
    <n v="0"/>
    <n v="8101.5666666666666"/>
    <m/>
    <m/>
    <m/>
    <m/>
    <m/>
    <m/>
    <m/>
    <m/>
    <n v="0"/>
    <n v="0"/>
    <m/>
    <n v="0"/>
    <n v="0"/>
    <n v="0"/>
    <m/>
    <n v="0"/>
  </r>
  <r>
    <x v="13"/>
    <s v="Texas Woman's University"/>
    <n v="229179"/>
    <x v="1"/>
    <s v="sem"/>
    <s v="sem"/>
    <m/>
    <m/>
    <n v="76172"/>
    <n v="79120"/>
    <n v="21559"/>
    <n v="22449"/>
    <n v="84322"/>
    <n v="87711"/>
    <n v="182053"/>
    <n v="182053"/>
    <n v="0"/>
    <n v="6068.4333333333334"/>
    <n v="189280"/>
    <n v="189280"/>
    <n v="0"/>
    <n v="6309.333333333333"/>
    <m/>
    <m/>
    <m/>
    <m/>
    <m/>
    <m/>
    <m/>
    <m/>
    <n v="0"/>
    <n v="0"/>
    <m/>
    <n v="0"/>
    <n v="0"/>
    <n v="0"/>
    <m/>
    <n v="0"/>
  </r>
  <r>
    <x v="13"/>
    <s v="University of Texas at El Paso"/>
    <n v="228796"/>
    <x v="1"/>
    <s v="sem"/>
    <s v="sem"/>
    <m/>
    <m/>
    <n v="174485"/>
    <n v="174503"/>
    <n v="36813"/>
    <n v="44261"/>
    <n v="188519"/>
    <n v="188224"/>
    <n v="399817"/>
    <n v="399817"/>
    <n v="1021"/>
    <n v="13327.233333333334"/>
    <n v="406988"/>
    <n v="406988"/>
    <n v="977"/>
    <n v="13566.266666666666"/>
    <m/>
    <m/>
    <m/>
    <m/>
    <m/>
    <m/>
    <m/>
    <m/>
    <n v="0"/>
    <n v="0"/>
    <m/>
    <n v="0"/>
    <n v="0"/>
    <n v="0"/>
    <m/>
    <n v="0"/>
  </r>
  <r>
    <x v="13"/>
    <s v="Angelo State University"/>
    <n v="222831"/>
    <x v="2"/>
    <s v="sem"/>
    <s v="sem"/>
    <m/>
    <m/>
    <n v="64651"/>
    <n v="63873"/>
    <n v="12595"/>
    <n v="11619"/>
    <n v="73535"/>
    <n v="70945"/>
    <n v="150781"/>
    <n v="150781"/>
    <n v="240"/>
    <n v="5026.0333333333338"/>
    <n v="146437"/>
    <n v="146437"/>
    <n v="393"/>
    <n v="4881.2333333333336"/>
    <m/>
    <m/>
    <m/>
    <m/>
    <m/>
    <m/>
    <m/>
    <m/>
    <n v="0"/>
    <n v="0"/>
    <m/>
    <n v="0"/>
    <n v="0"/>
    <n v="0"/>
    <m/>
    <n v="0"/>
  </r>
  <r>
    <x v="13"/>
    <s v="Lamar University"/>
    <n v="226091"/>
    <x v="2"/>
    <s v="sem"/>
    <s v="sem"/>
    <m/>
    <m/>
    <n v="92058"/>
    <n v="90740"/>
    <n v="25287"/>
    <n v="23487"/>
    <n v="100493"/>
    <n v="100092"/>
    <n v="217838"/>
    <n v="217838"/>
    <n v="2734"/>
    <n v="7261.2666666666664"/>
    <n v="214319"/>
    <n v="214319"/>
    <n v="1609"/>
    <n v="7143.9666666666662"/>
    <m/>
    <m/>
    <m/>
    <m/>
    <m/>
    <m/>
    <m/>
    <m/>
    <n v="0"/>
    <n v="0"/>
    <m/>
    <n v="0"/>
    <n v="0"/>
    <n v="0"/>
    <m/>
    <n v="0"/>
  </r>
  <r>
    <x v="13"/>
    <s v="Midwestern State University  "/>
    <n v="226833"/>
    <x v="2"/>
    <s v="sem"/>
    <s v="sem"/>
    <m/>
    <m/>
    <n v="58409"/>
    <n v="58291"/>
    <n v="15944"/>
    <n v="14393"/>
    <n v="62570"/>
    <n v="61415"/>
    <n v="136923"/>
    <n v="136923"/>
    <n v="129"/>
    <n v="4564.1000000000004"/>
    <n v="134099"/>
    <n v="134099"/>
    <n v="128"/>
    <n v="4469.9666666666662"/>
    <m/>
    <m/>
    <m/>
    <m/>
    <m/>
    <m/>
    <m/>
    <m/>
    <n v="0"/>
    <n v="0"/>
    <m/>
    <n v="0"/>
    <n v="0"/>
    <n v="0"/>
    <m/>
    <n v="0"/>
  </r>
  <r>
    <x v="13"/>
    <s v="Prairie View A &amp; M University"/>
    <n v="227526"/>
    <x v="2"/>
    <s v="sem"/>
    <s v="sem"/>
    <m/>
    <m/>
    <n v="73106"/>
    <n v="76109"/>
    <n v="11128"/>
    <n v="11671"/>
    <n v="82313"/>
    <n v="82896"/>
    <n v="166547"/>
    <n v="166547"/>
    <n v="0"/>
    <n v="5551.5666666666666"/>
    <n v="170676"/>
    <n v="170676"/>
    <n v="0"/>
    <n v="5689.2"/>
    <m/>
    <m/>
    <m/>
    <m/>
    <m/>
    <m/>
    <m/>
    <m/>
    <n v="0"/>
    <n v="0"/>
    <m/>
    <n v="0"/>
    <n v="0"/>
    <n v="0"/>
    <m/>
    <n v="0"/>
  </r>
  <r>
    <x v="13"/>
    <s v="Sam Houston State University "/>
    <n v="227881"/>
    <x v="2"/>
    <s v="sem"/>
    <s v="sem"/>
    <m/>
    <m/>
    <n v="169316"/>
    <n v="171858"/>
    <n v="39351"/>
    <n v="39347"/>
    <n v="184907"/>
    <n v="186925"/>
    <n v="393574"/>
    <n v="393574"/>
    <n v="120"/>
    <n v="13119.133333333333"/>
    <n v="398130"/>
    <n v="398130"/>
    <n v="0"/>
    <n v="13271"/>
    <m/>
    <m/>
    <m/>
    <m/>
    <m/>
    <m/>
    <m/>
    <m/>
    <n v="0"/>
    <n v="0"/>
    <m/>
    <n v="0"/>
    <n v="0"/>
    <n v="0"/>
    <m/>
    <n v="0"/>
  </r>
  <r>
    <x v="13"/>
    <s v="Stephen F. Austin State University"/>
    <n v="228431"/>
    <x v="2"/>
    <s v="sem"/>
    <s v="sem"/>
    <m/>
    <m/>
    <n v="122042"/>
    <n v="118694"/>
    <n v="30827"/>
    <n v="31178"/>
    <n v="131756"/>
    <n v="134092"/>
    <n v="284625"/>
    <n v="284625"/>
    <n v="1165"/>
    <n v="9487.5"/>
    <n v="283964"/>
    <n v="283964"/>
    <n v="1124"/>
    <n v="9465.4666666666672"/>
    <m/>
    <m/>
    <m/>
    <m/>
    <m/>
    <m/>
    <m/>
    <m/>
    <n v="0"/>
    <n v="0"/>
    <m/>
    <n v="0"/>
    <n v="0"/>
    <n v="0"/>
    <m/>
    <n v="0"/>
  </r>
  <r>
    <x v="13"/>
    <s v="Sul Ross State University "/>
    <n v="228501"/>
    <x v="2"/>
    <s v="sem"/>
    <s v="sem"/>
    <m/>
    <m/>
    <n v="16206"/>
    <n v="13952"/>
    <n v="3619"/>
    <n v="3585"/>
    <n v="15558"/>
    <n v="16465"/>
    <n v="35383"/>
    <n v="35383"/>
    <n v="123"/>
    <n v="1179.4333333333334"/>
    <n v="34002"/>
    <n v="34002"/>
    <n v="256"/>
    <n v="1133.4000000000001"/>
    <m/>
    <m/>
    <m/>
    <m/>
    <m/>
    <m/>
    <m/>
    <m/>
    <n v="0"/>
    <n v="0"/>
    <m/>
    <n v="0"/>
    <n v="0"/>
    <n v="0"/>
    <m/>
    <n v="0"/>
  </r>
  <r>
    <x v="13"/>
    <s v="Tarleton State University  "/>
    <n v="228529"/>
    <x v="2"/>
    <s v="sem"/>
    <s v="sem"/>
    <m/>
    <m/>
    <n v="86775"/>
    <n v="86705"/>
    <n v="24670"/>
    <n v="23694"/>
    <n v="94244"/>
    <n v="92339"/>
    <n v="205689"/>
    <n v="205689"/>
    <n v="242"/>
    <n v="6856.3"/>
    <n v="202738"/>
    <n v="202738"/>
    <n v="211"/>
    <n v="6757.9333333333334"/>
    <m/>
    <m/>
    <m/>
    <m/>
    <m/>
    <m/>
    <m/>
    <m/>
    <n v="0"/>
    <n v="0"/>
    <m/>
    <n v="0"/>
    <n v="0"/>
    <n v="0"/>
    <m/>
    <n v="0"/>
  </r>
  <r>
    <x v="13"/>
    <s v="Texas A &amp; M University-Commerce"/>
    <n v="224554"/>
    <x v="2"/>
    <s v="sem"/>
    <s v="sem"/>
    <m/>
    <m/>
    <n v="61029"/>
    <n v="53877"/>
    <n v="14742"/>
    <n v="16398"/>
    <n v="62487"/>
    <n v="59701"/>
    <n v="138258"/>
    <n v="138258"/>
    <n v="466"/>
    <n v="4608.6000000000004"/>
    <n v="129976"/>
    <n v="129976"/>
    <n v="176"/>
    <n v="4332.5333333333338"/>
    <m/>
    <m/>
    <m/>
    <m/>
    <m/>
    <m/>
    <m/>
    <m/>
    <n v="0"/>
    <n v="0"/>
    <m/>
    <n v="0"/>
    <n v="0"/>
    <n v="0"/>
    <m/>
    <n v="0"/>
  </r>
  <r>
    <x v="13"/>
    <s v="Texas A &amp; M University-Corpus Christi "/>
    <n v="224147"/>
    <x v="2"/>
    <s v="sem"/>
    <s v="sem"/>
    <m/>
    <m/>
    <n v="79798"/>
    <n v="74951"/>
    <n v="26349"/>
    <n v="23383"/>
    <n v="83987"/>
    <n v="89351"/>
    <n v="190134"/>
    <n v="190134"/>
    <n v="0"/>
    <n v="6337.8"/>
    <n v="187685"/>
    <n v="187685"/>
    <n v="900"/>
    <n v="6256.166666666667"/>
    <m/>
    <m/>
    <m/>
    <m/>
    <m/>
    <m/>
    <m/>
    <m/>
    <n v="0"/>
    <n v="0"/>
    <m/>
    <n v="0"/>
    <n v="0"/>
    <n v="0"/>
    <m/>
    <n v="0"/>
  </r>
  <r>
    <x v="13"/>
    <s v="Texas A &amp; M University-Kingsville"/>
    <n v="228705"/>
    <x v="2"/>
    <s v="sem"/>
    <s v="sem"/>
    <m/>
    <m/>
    <n v="54521"/>
    <n v="55409"/>
    <n v="15707"/>
    <n v="15614"/>
    <n v="58224"/>
    <n v="64697"/>
    <n v="128452"/>
    <n v="128452"/>
    <n v="0"/>
    <n v="4281.7333333333336"/>
    <n v="135720"/>
    <n v="135720"/>
    <n v="0"/>
    <n v="4524"/>
    <m/>
    <m/>
    <m/>
    <m/>
    <m/>
    <m/>
    <m/>
    <m/>
    <n v="0"/>
    <n v="0"/>
    <m/>
    <n v="0"/>
    <n v="0"/>
    <n v="0"/>
    <m/>
    <n v="0"/>
  </r>
  <r>
    <x v="13"/>
    <s v="Texas Southern University "/>
    <n v="229063"/>
    <x v="2"/>
    <s v="sem"/>
    <s v="sem"/>
    <m/>
    <m/>
    <n v="97734"/>
    <n v="82479"/>
    <n v="9376"/>
    <n v="11464"/>
    <n v="91002"/>
    <n v="86820"/>
    <n v="198112"/>
    <n v="198112"/>
    <n v="0"/>
    <n v="6603.7333333333336"/>
    <n v="180763"/>
    <n v="180763"/>
    <n v="0"/>
    <n v="6025.4333333333334"/>
    <m/>
    <m/>
    <m/>
    <m/>
    <m/>
    <m/>
    <m/>
    <m/>
    <n v="0"/>
    <n v="0"/>
    <m/>
    <n v="0"/>
    <n v="0"/>
    <n v="0"/>
    <m/>
    <n v="0"/>
  </r>
  <r>
    <x v="13"/>
    <s v="Texas State University - San Marcos "/>
    <n v="228459"/>
    <x v="2"/>
    <s v="sem"/>
    <s v="sem"/>
    <m/>
    <m/>
    <n v="277580"/>
    <n v="281890"/>
    <n v="66372"/>
    <n v="67091"/>
    <n v="305424"/>
    <n v="312589"/>
    <n v="649376"/>
    <n v="649376"/>
    <n v="11"/>
    <n v="21645.866666666665"/>
    <n v="661570"/>
    <n v="661570"/>
    <n v="3"/>
    <n v="22052.333333333332"/>
    <m/>
    <m/>
    <m/>
    <m/>
    <m/>
    <m/>
    <m/>
    <m/>
    <n v="0"/>
    <n v="0"/>
    <m/>
    <n v="0"/>
    <n v="0"/>
    <n v="0"/>
    <m/>
    <n v="0"/>
  </r>
  <r>
    <x v="13"/>
    <s v="University of Houston-Clear Lake "/>
    <n v="225414"/>
    <x v="2"/>
    <s v="sem"/>
    <s v="sem"/>
    <m/>
    <m/>
    <n v="40319"/>
    <n v="39132"/>
    <n v="12709"/>
    <n v="13018"/>
    <n v="39693"/>
    <n v="40872"/>
    <n v="92721"/>
    <n v="92721"/>
    <n v="0"/>
    <n v="3090.7"/>
    <n v="93022"/>
    <n v="93022"/>
    <n v="0"/>
    <n v="3100.7333333333331"/>
    <m/>
    <m/>
    <m/>
    <m/>
    <m/>
    <m/>
    <m/>
    <m/>
    <n v="0"/>
    <n v="0"/>
    <m/>
    <n v="0"/>
    <n v="0"/>
    <n v="0"/>
    <m/>
    <n v="0"/>
  </r>
  <r>
    <x v="13"/>
    <s v="University of Texas at San Antonio"/>
    <n v="229027"/>
    <x v="2"/>
    <s v="sem"/>
    <s v="sem"/>
    <m/>
    <m/>
    <n v="259509"/>
    <n v="262253"/>
    <n v="52082"/>
    <n v="53739"/>
    <n v="288193"/>
    <n v="290973"/>
    <n v="599784"/>
    <n v="599784"/>
    <n v="4875"/>
    <n v="19992.8"/>
    <n v="606965"/>
    <n v="606965"/>
    <n v="4911"/>
    <n v="20232.166666666668"/>
    <m/>
    <m/>
    <m/>
    <m/>
    <m/>
    <m/>
    <m/>
    <m/>
    <n v="0"/>
    <n v="0"/>
    <m/>
    <n v="0"/>
    <n v="0"/>
    <n v="0"/>
    <m/>
    <n v="0"/>
  </r>
  <r>
    <x v="13"/>
    <s v="University of Texas at Tyler"/>
    <n v="228802"/>
    <x v="2"/>
    <s v="sem"/>
    <s v="sem"/>
    <m/>
    <m/>
    <n v="57009"/>
    <n v="58962"/>
    <n v="8097"/>
    <n v="8235"/>
    <n v="63527"/>
    <n v="62715"/>
    <n v="128633"/>
    <n v="128633"/>
    <n v="0"/>
    <n v="4287.7666666666664"/>
    <n v="129912"/>
    <n v="129912"/>
    <n v="0"/>
    <n v="4330.3999999999996"/>
    <m/>
    <m/>
    <m/>
    <m/>
    <m/>
    <m/>
    <m/>
    <m/>
    <n v="0"/>
    <n v="0"/>
    <m/>
    <n v="0"/>
    <n v="0"/>
    <n v="0"/>
    <m/>
    <n v="0"/>
  </r>
  <r>
    <x v="13"/>
    <s v="University of Texas-Pan American"/>
    <n v="227368"/>
    <x v="2"/>
    <s v="sem"/>
    <s v="sem"/>
    <m/>
    <m/>
    <n v="162889"/>
    <n v="165673"/>
    <n v="66838"/>
    <n v="64108"/>
    <n v="179479"/>
    <n v="178269"/>
    <n v="409206"/>
    <n v="409206"/>
    <n v="716"/>
    <n v="13640.2"/>
    <n v="408050"/>
    <n v="408050"/>
    <n v="1243"/>
    <n v="13601.666666666666"/>
    <m/>
    <m/>
    <m/>
    <m/>
    <m/>
    <m/>
    <m/>
    <m/>
    <n v="0"/>
    <n v="0"/>
    <m/>
    <n v="0"/>
    <n v="0"/>
    <n v="0"/>
    <m/>
    <n v="0"/>
  </r>
  <r>
    <x v="13"/>
    <s v="West Texas A &amp; M University"/>
    <n v="229814"/>
    <x v="2"/>
    <s v="sem"/>
    <s v="sem"/>
    <m/>
    <m/>
    <n v="66882"/>
    <n v="66314"/>
    <n v="15480"/>
    <n v="14575"/>
    <n v="73049"/>
    <n v="76044"/>
    <n v="155411"/>
    <n v="155411"/>
    <n v="0"/>
    <n v="5180.3666666666668"/>
    <n v="156933"/>
    <n v="156933"/>
    <n v="0"/>
    <n v="5231.1000000000004"/>
    <m/>
    <m/>
    <m/>
    <m/>
    <m/>
    <m/>
    <m/>
    <m/>
    <n v="0"/>
    <n v="0"/>
    <m/>
    <n v="0"/>
    <n v="0"/>
    <n v="0"/>
    <m/>
    <n v="0"/>
  </r>
  <r>
    <x v="13"/>
    <s v="Texas A &amp; M -Texarkana"/>
    <n v="224545"/>
    <x v="3"/>
    <s v="sem"/>
    <s v="sem"/>
    <m/>
    <m/>
    <n v="9741"/>
    <n v="9954"/>
    <n v="3363"/>
    <n v="3270"/>
    <n v="9344"/>
    <n v="9655"/>
    <n v="22448"/>
    <n v="22448"/>
    <n v="15"/>
    <n v="748.26666666666665"/>
    <n v="22879"/>
    <n v="22879"/>
    <n v="30"/>
    <n v="762.63333333333333"/>
    <m/>
    <m/>
    <m/>
    <m/>
    <m/>
    <m/>
    <m/>
    <m/>
    <n v="0"/>
    <n v="0"/>
    <m/>
    <n v="0"/>
    <n v="0"/>
    <n v="0"/>
    <m/>
    <n v="0"/>
  </r>
  <r>
    <x v="13"/>
    <s v="Texas A&amp;M International University"/>
    <n v="226152"/>
    <x v="3"/>
    <s v="sem"/>
    <s v="sem"/>
    <m/>
    <m/>
    <n v="40230"/>
    <n v="43790"/>
    <n v="13861"/>
    <n v="14421"/>
    <n v="45859"/>
    <n v="51429"/>
    <n v="99950"/>
    <n v="99950"/>
    <n v="2365"/>
    <n v="3331.6666666666665"/>
    <n v="109640"/>
    <n v="109640"/>
    <n v="4970"/>
    <n v="3654.6666666666665"/>
    <m/>
    <m/>
    <m/>
    <m/>
    <m/>
    <m/>
    <m/>
    <m/>
    <n v="0"/>
    <n v="0"/>
    <m/>
    <n v="0"/>
    <n v="0"/>
    <n v="0"/>
    <m/>
    <n v="0"/>
  </r>
  <r>
    <x v="13"/>
    <s v="University of Texas at Brownsville"/>
    <n v="227377"/>
    <x v="3"/>
    <s v="sem"/>
    <s v="sem"/>
    <m/>
    <m/>
    <n v="28648"/>
    <n v="32439"/>
    <n v="10945"/>
    <n v="11934"/>
    <n v="36184"/>
    <n v="42786"/>
    <n v="75777"/>
    <n v="75777"/>
    <n v="5855"/>
    <n v="2525.9"/>
    <n v="87159"/>
    <n v="87159"/>
    <n v="8030"/>
    <n v="2905.3"/>
    <m/>
    <m/>
    <m/>
    <m/>
    <m/>
    <m/>
    <m/>
    <m/>
    <n v="0"/>
    <n v="0"/>
    <m/>
    <n v="0"/>
    <n v="0"/>
    <n v="0"/>
    <m/>
    <n v="0"/>
  </r>
  <r>
    <x v="13"/>
    <s v="University of Texas of the Permian Basin"/>
    <n v="229018"/>
    <x v="3"/>
    <s v="sem"/>
    <s v="sem"/>
    <m/>
    <m/>
    <n v="29958"/>
    <n v="30336"/>
    <n v="5982"/>
    <n v="7182"/>
    <n v="33328"/>
    <n v="30782"/>
    <n v="69268"/>
    <n v="69268"/>
    <n v="0"/>
    <n v="2308.9333333333334"/>
    <n v="68300"/>
    <n v="68300"/>
    <n v="74"/>
    <n v="2276.6666666666665"/>
    <m/>
    <m/>
    <m/>
    <m/>
    <m/>
    <m/>
    <m/>
    <m/>
    <n v="0"/>
    <n v="0"/>
    <m/>
    <n v="0"/>
    <n v="0"/>
    <n v="0"/>
    <m/>
    <n v="0"/>
  </r>
  <r>
    <x v="13"/>
    <s v="Sul Ross State University-Rio Grande College"/>
    <s v="228501B"/>
    <x v="4"/>
    <s v="sem"/>
    <s v="sem"/>
    <m/>
    <m/>
    <n v="6630"/>
    <n v="6054"/>
    <n v="3708"/>
    <n v="3546"/>
    <n v="6057"/>
    <n v="6116"/>
    <n v="16395"/>
    <n v="16395"/>
    <n v="0"/>
    <n v="546.5"/>
    <n v="15716"/>
    <n v="15716"/>
    <n v="0"/>
    <n v="523.86666666666667"/>
    <m/>
    <m/>
    <m/>
    <m/>
    <m/>
    <m/>
    <m/>
    <m/>
    <n v="0"/>
    <n v="0"/>
    <m/>
    <n v="0"/>
    <n v="0"/>
    <n v="0"/>
    <m/>
    <n v="0"/>
  </r>
  <r>
    <x v="13"/>
    <s v="University of Houston-Downtown"/>
    <n v="225432"/>
    <x v="4"/>
    <s v="sem"/>
    <s v="sem"/>
    <m/>
    <m/>
    <n v="103522"/>
    <n v="108428"/>
    <n v="29515"/>
    <n v="31783"/>
    <n v="113613"/>
    <n v="114984"/>
    <n v="246650"/>
    <n v="246650"/>
    <n v="42"/>
    <n v="8221.6666666666661"/>
    <n v="255195"/>
    <n v="255195"/>
    <n v="147"/>
    <n v="8506.5"/>
    <m/>
    <m/>
    <m/>
    <m/>
    <m/>
    <m/>
    <m/>
    <m/>
    <n v="0"/>
    <n v="0"/>
    <m/>
    <n v="0"/>
    <n v="0"/>
    <n v="0"/>
    <m/>
    <n v="0"/>
  </r>
  <r>
    <x v="13"/>
    <s v="University of Houston-Victoria"/>
    <n v="225502"/>
    <x v="4"/>
    <s v="sem"/>
    <s v="sem"/>
    <m/>
    <m/>
    <n v="12267"/>
    <n v="13297"/>
    <n v="5968"/>
    <n v="6672"/>
    <n v="12786"/>
    <n v="14927"/>
    <n v="31021"/>
    <n v="31021"/>
    <n v="0"/>
    <n v="1034.0333333333333"/>
    <n v="34896"/>
    <n v="34896"/>
    <n v="0"/>
    <n v="1163.2"/>
    <m/>
    <m/>
    <m/>
    <m/>
    <m/>
    <m/>
    <m/>
    <m/>
    <n v="0"/>
    <n v="0"/>
    <m/>
    <n v="0"/>
    <n v="0"/>
    <n v="0"/>
    <m/>
    <n v="0"/>
  </r>
  <r>
    <x v="13"/>
    <s v="Texas A &amp; M University at Galveston"/>
    <n v="228714"/>
    <x v="5"/>
    <s v="sem"/>
    <s v="sem"/>
    <m/>
    <m/>
    <n v="19468"/>
    <n v="19567"/>
    <n v="3562"/>
    <n v="3580"/>
    <n v="21802"/>
    <n v="21334"/>
    <n v="44832"/>
    <n v="44832"/>
    <n v="0"/>
    <n v="1494.4"/>
    <n v="44481"/>
    <n v="44481"/>
    <n v="0"/>
    <n v="1482.7"/>
    <m/>
    <m/>
    <m/>
    <m/>
    <m/>
    <m/>
    <m/>
    <m/>
    <n v="0"/>
    <n v="0"/>
    <m/>
    <n v="0"/>
    <n v="0"/>
    <n v="0"/>
    <m/>
    <n v="0"/>
  </r>
  <r>
    <x v="13"/>
    <s v="Amarillo College "/>
    <n v="222576"/>
    <x v="6"/>
    <s v="sem"/>
    <s v="sem"/>
    <n v="78792"/>
    <n v="76133"/>
    <n v="20259"/>
    <n v="21146"/>
    <m/>
    <n v="0"/>
    <n v="81389"/>
    <n v="79391"/>
    <n v="180440"/>
    <n v="180440"/>
    <n v="19009"/>
    <n v="6014.666666666667"/>
    <n v="176670"/>
    <n v="176670"/>
    <n v="20047"/>
    <n v="5889"/>
    <n v="154819"/>
    <n v="150338"/>
    <n v="129199"/>
    <n v="157428"/>
    <n v="123242"/>
    <n v="140291"/>
    <n v="168811"/>
    <n v="161765"/>
    <n v="576071"/>
    <n v="0"/>
    <s v="—"/>
    <n v="640.07888888888886"/>
    <n v="609822"/>
    <n v="0"/>
    <s v="—"/>
    <n v="677.58"/>
  </r>
  <r>
    <x v="13"/>
    <s v="Austin Community College "/>
    <n v="222992"/>
    <x v="6"/>
    <s v="sem"/>
    <s v="sem"/>
    <n v="241331"/>
    <n v="249738"/>
    <n v="137288"/>
    <n v="145075"/>
    <m/>
    <n v="0"/>
    <n v="242309"/>
    <n v="252322"/>
    <n v="620928"/>
    <n v="620928"/>
    <n v="32637"/>
    <n v="20697.599999999999"/>
    <n v="647135"/>
    <n v="647135"/>
    <n v="35944"/>
    <n v="21571.166666666668"/>
    <n v="103205"/>
    <n v="114011"/>
    <n v="85440"/>
    <n v="115154"/>
    <n v="91599"/>
    <n v="98024"/>
    <n v="134379"/>
    <n v="133589"/>
    <n v="414623"/>
    <n v="0"/>
    <s v="—"/>
    <n v="460.6922222222222"/>
    <n v="460778"/>
    <n v="0"/>
    <s v="—"/>
    <n v="511.97555555555556"/>
  </r>
  <r>
    <x v="13"/>
    <s v="Blinn College "/>
    <n v="223427"/>
    <x v="6"/>
    <s v="sem"/>
    <s v="sem"/>
    <n v="130142"/>
    <n v="137199"/>
    <n v="28194"/>
    <n v="29822"/>
    <n v="17088"/>
    <n v="16233"/>
    <n v="145495"/>
    <n v="156668"/>
    <n v="320919"/>
    <n v="320919"/>
    <n v="8842"/>
    <n v="10697.3"/>
    <n v="339922"/>
    <n v="339922"/>
    <n v="9899"/>
    <n v="11330.733333333334"/>
    <n v="24485"/>
    <n v="30465"/>
    <n v="20826"/>
    <n v="33981"/>
    <n v="20455"/>
    <n v="38939"/>
    <n v="34296"/>
    <n v="36797"/>
    <n v="100062"/>
    <n v="0"/>
    <s v="—"/>
    <n v="111.18"/>
    <n v="140182"/>
    <n v="0"/>
    <s v="—"/>
    <n v="155.75777777777779"/>
  </r>
  <r>
    <x v="13"/>
    <s v="Brookhaven College  (DCCCD)"/>
    <n v="223524"/>
    <x v="6"/>
    <s v="sem"/>
    <s v="sem"/>
    <n v="77115"/>
    <n v="74837"/>
    <n v="26992"/>
    <n v="30166"/>
    <n v="13678"/>
    <n v="14512"/>
    <n v="68280"/>
    <n v="68735"/>
    <n v="186065"/>
    <n v="186065"/>
    <n v="6120"/>
    <n v="6202.166666666667"/>
    <n v="188250"/>
    <n v="188250"/>
    <n v="6560"/>
    <n v="6275"/>
    <n v="79024"/>
    <n v="72472"/>
    <n v="87887"/>
    <n v="79835"/>
    <n v="93858"/>
    <n v="86034"/>
    <n v="100698"/>
    <n v="90742"/>
    <n v="361467"/>
    <n v="0"/>
    <s v="—"/>
    <n v="401.63"/>
    <n v="329083"/>
    <n v="0"/>
    <s v="—"/>
    <n v="365.64777777777778"/>
  </r>
  <r>
    <x v="13"/>
    <s v="Central Texas College "/>
    <n v="223816"/>
    <x v="6"/>
    <s v="sem"/>
    <s v="sem"/>
    <n v="107166"/>
    <n v="94390"/>
    <n v="63119"/>
    <n v="85813"/>
    <n v="9816"/>
    <n v="9922"/>
    <n v="71113"/>
    <n v="74021"/>
    <n v="251214"/>
    <n v="251214"/>
    <n v="8952"/>
    <n v="8373.7999999999993"/>
    <n v="264146"/>
    <n v="264146"/>
    <n v="17189"/>
    <n v="8804.8666666666668"/>
    <n v="46024"/>
    <n v="60124"/>
    <n v="83637"/>
    <n v="110100"/>
    <n v="73596"/>
    <n v="91433"/>
    <n v="76563"/>
    <n v="82082"/>
    <n v="279820"/>
    <n v="0"/>
    <s v="—"/>
    <n v="310.9111111111111"/>
    <n v="343739"/>
    <n v="0"/>
    <s v="—"/>
    <n v="381.93222222222221"/>
  </r>
  <r>
    <x v="13"/>
    <s v="Collin County Community College District"/>
    <n v="247834"/>
    <x v="6"/>
    <s v="sem"/>
    <s v="sem"/>
    <n v="158071"/>
    <n v="170777"/>
    <n v="32430"/>
    <n v="38106"/>
    <n v="29057"/>
    <n v="30905"/>
    <n v="172415"/>
    <n v="178651"/>
    <n v="391973"/>
    <n v="391973"/>
    <n v="10715"/>
    <n v="13065.766666666666"/>
    <n v="418439"/>
    <n v="418439"/>
    <n v="11872"/>
    <n v="13947.966666666667"/>
    <n v="156727"/>
    <n v="133412"/>
    <n v="86093"/>
    <n v="117427"/>
    <n v="117948"/>
    <n v="103662"/>
    <n v="188325"/>
    <n v="176556"/>
    <n v="549093"/>
    <n v="0"/>
    <s v="—"/>
    <n v="610.10333333333335"/>
    <n v="531057"/>
    <n v="0"/>
    <s v="—"/>
    <n v="590.06333333333339"/>
  </r>
  <r>
    <x v="13"/>
    <s v="Del Mar College "/>
    <n v="224350"/>
    <x v="6"/>
    <s v="sem"/>
    <s v="sem"/>
    <n v="87180"/>
    <n v="83024"/>
    <n v="22689"/>
    <n v="22815"/>
    <n v="9110"/>
    <n v="8940"/>
    <n v="89648"/>
    <n v="91580"/>
    <n v="208627"/>
    <n v="208627"/>
    <n v="6846"/>
    <n v="6954.2333333333336"/>
    <n v="206359"/>
    <n v="206359"/>
    <n v="9874"/>
    <n v="6878.6333333333332"/>
    <n v="58042"/>
    <n v="64250"/>
    <n v="55317"/>
    <n v="78386"/>
    <n v="74246"/>
    <n v="80078"/>
    <n v="59666"/>
    <n v="54017"/>
    <n v="247271"/>
    <n v="0"/>
    <s v="—"/>
    <n v="274.74555555555554"/>
    <n v="276731"/>
    <n v="0"/>
    <s v="—"/>
    <n v="307.47888888888889"/>
  </r>
  <r>
    <x v="13"/>
    <s v="Eastfield College  (DCCCD)"/>
    <n v="224572"/>
    <x v="6"/>
    <s v="sem"/>
    <s v="sem"/>
    <n v="75586"/>
    <n v="75020"/>
    <n v="23793"/>
    <n v="28782"/>
    <n v="12361"/>
    <n v="13052"/>
    <n v="67169"/>
    <n v="68450"/>
    <n v="178909"/>
    <n v="178909"/>
    <n v="8839"/>
    <n v="5963.6333333333332"/>
    <n v="185304"/>
    <n v="185304"/>
    <n v="10390"/>
    <n v="6176.8"/>
    <n v="60886"/>
    <n v="54026"/>
    <n v="47137"/>
    <n v="55414"/>
    <n v="64937"/>
    <n v="64418"/>
    <n v="76622"/>
    <n v="63536"/>
    <n v="249582"/>
    <n v="0"/>
    <s v="—"/>
    <n v="277.31333333333333"/>
    <n v="237394"/>
    <n v="0"/>
    <s v="—"/>
    <n v="263.77111111111111"/>
  </r>
  <r>
    <x v="13"/>
    <s v="El Paso County Community College District"/>
    <n v="224642"/>
    <x v="6"/>
    <s v="sem"/>
    <s v="sem"/>
    <n v="211408"/>
    <n v="200821"/>
    <n v="46871"/>
    <n v="52347"/>
    <m/>
    <n v="0"/>
    <n v="218195"/>
    <n v="225500"/>
    <n v="476474"/>
    <n v="476474"/>
    <n v="14661"/>
    <n v="15882.466666666667"/>
    <n v="478668"/>
    <n v="478668"/>
    <n v="28385"/>
    <n v="15955.6"/>
    <n v="126695"/>
    <n v="125484"/>
    <n v="135071"/>
    <n v="122704"/>
    <n v="132083"/>
    <n v="125093"/>
    <n v="149057"/>
    <n v="117043"/>
    <n v="542906"/>
    <n v="0"/>
    <s v="—"/>
    <n v="603.22888888888883"/>
    <n v="490324"/>
    <n v="0"/>
    <s v="—"/>
    <n v="544.80444444444447"/>
  </r>
  <r>
    <x v="13"/>
    <s v="Houston Community College"/>
    <n v="225423"/>
    <x v="6"/>
    <s v="sem"/>
    <s v="sem"/>
    <n v="340762"/>
    <n v="340857"/>
    <n v="185850"/>
    <n v="227404"/>
    <m/>
    <n v="0"/>
    <n v="278076"/>
    <n v="297936"/>
    <n v="804688"/>
    <n v="804688"/>
    <n v="35069"/>
    <n v="26822.933333333334"/>
    <n v="866197"/>
    <n v="866197"/>
    <n v="37464"/>
    <n v="28873.233333333334"/>
    <n v="463250"/>
    <n v="438229"/>
    <n v="468794"/>
    <n v="411029"/>
    <n v="473137"/>
    <n v="396354"/>
    <n v="601583"/>
    <n v="495744"/>
    <n v="2006764"/>
    <n v="0"/>
    <s v="—"/>
    <n v="2229.7377777777779"/>
    <n v="1741356"/>
    <n v="0"/>
    <s v="—"/>
    <n v="1934.84"/>
  </r>
  <r>
    <x v="13"/>
    <s v="Laredo Community College "/>
    <n v="226134"/>
    <x v="6"/>
    <s v="sem"/>
    <s v="sem"/>
    <n v="66754"/>
    <n v="64613"/>
    <n v="14943"/>
    <n v="14073"/>
    <n v="7850"/>
    <n v="8504"/>
    <n v="67003"/>
    <n v="70254"/>
    <n v="156550"/>
    <n v="156550"/>
    <n v="512"/>
    <n v="5218.333333333333"/>
    <n v="157444"/>
    <n v="157444"/>
    <n v="1250"/>
    <n v="5248.1333333333332"/>
    <n v="35544"/>
    <n v="21583"/>
    <n v="14628"/>
    <n v="41862"/>
    <n v="21536"/>
    <n v="58900"/>
    <n v="22136"/>
    <n v="40473"/>
    <n v="93844"/>
    <n v="0"/>
    <s v="—"/>
    <n v="104.27111111111111"/>
    <n v="162818"/>
    <n v="0"/>
    <s v="—"/>
    <n v="180.9088888888889"/>
  </r>
  <r>
    <x v="13"/>
    <s v="McLennan Community College "/>
    <n v="226578"/>
    <x v="6"/>
    <s v="sem"/>
    <s v="sem"/>
    <n v="70734"/>
    <n v="68821"/>
    <n v="16795"/>
    <n v="20312"/>
    <n v="10141"/>
    <n v="9693"/>
    <n v="75352"/>
    <n v="71854"/>
    <n v="173022"/>
    <n v="173022"/>
    <n v="7270"/>
    <n v="5767.4"/>
    <n v="170680"/>
    <n v="170680"/>
    <n v="7898"/>
    <n v="5689.333333333333"/>
    <n v="55385"/>
    <n v="44356"/>
    <n v="47548"/>
    <n v="51007"/>
    <n v="73072"/>
    <n v="67135"/>
    <n v="54517"/>
    <n v="41879"/>
    <n v="230522"/>
    <n v="0"/>
    <s v="—"/>
    <n v="256.13555555555558"/>
    <n v="204377"/>
    <n v="0"/>
    <s v="—"/>
    <n v="227.08555555555554"/>
  </r>
  <r>
    <x v="13"/>
    <s v="Navarro College "/>
    <n v="227146"/>
    <x v="6"/>
    <s v="sem"/>
    <s v="sem"/>
    <n v="67687"/>
    <n v="72813"/>
    <n v="14263"/>
    <n v="16553"/>
    <n v="4250"/>
    <n v="5462"/>
    <n v="70622"/>
    <n v="77047"/>
    <n v="156822"/>
    <n v="156822"/>
    <n v="15388"/>
    <n v="5227.3999999999996"/>
    <n v="171875"/>
    <n v="171875"/>
    <n v="19652"/>
    <n v="5729.166666666667"/>
    <n v="34867"/>
    <n v="84213"/>
    <n v="19087"/>
    <n v="95150"/>
    <n v="24704"/>
    <n v="33176"/>
    <n v="33267"/>
    <n v="23831"/>
    <n v="111925"/>
    <n v="0"/>
    <s v="—"/>
    <n v="124.36111111111111"/>
    <n v="236370"/>
    <n v="0"/>
    <s v="—"/>
    <n v="262.63333333333333"/>
  </r>
  <r>
    <x v="13"/>
    <s v="North Harris Montgomery Community College District"/>
    <n v="227182"/>
    <x v="6"/>
    <s v="sem"/>
    <s v="sem"/>
    <n v="323008"/>
    <n v="341083"/>
    <n v="150124"/>
    <n v="160831"/>
    <m/>
    <n v="0"/>
    <n v="330410"/>
    <n v="340294"/>
    <n v="803542"/>
    <n v="803542"/>
    <n v="41817"/>
    <n v="26784.733333333334"/>
    <n v="842208"/>
    <n v="842208"/>
    <n v="43900"/>
    <n v="28073.599999999999"/>
    <n v="123612"/>
    <n v="159298"/>
    <n v="92052"/>
    <n v="84210"/>
    <n v="124776"/>
    <n v="108155"/>
    <n v="153405"/>
    <n v="199056"/>
    <n v="493845"/>
    <n v="0"/>
    <s v="—"/>
    <n v="548.7166666666667"/>
    <n v="550719"/>
    <n v="0"/>
    <s v="—"/>
    <n v="611.91"/>
  </r>
  <r>
    <x v="13"/>
    <s v="North Lake College  (DCCCD)"/>
    <n v="227191"/>
    <x v="6"/>
    <s v="sem"/>
    <s v="sem"/>
    <n v="69459"/>
    <n v="71092"/>
    <n v="19814"/>
    <n v="20970"/>
    <n v="11857"/>
    <n v="13138"/>
    <n v="68983"/>
    <n v="74096"/>
    <n v="170113"/>
    <n v="170113"/>
    <n v="8628"/>
    <n v="5670.4333333333334"/>
    <n v="179296"/>
    <n v="179296"/>
    <n v="11155"/>
    <n v="5976.5333333333338"/>
    <n v="131541"/>
    <n v="122671"/>
    <n v="68066"/>
    <n v="71466"/>
    <n v="74497"/>
    <n v="65638"/>
    <n v="163250"/>
    <n v="167828"/>
    <n v="437354"/>
    <n v="0"/>
    <s v="—"/>
    <n v="485.94888888888892"/>
    <n v="427603"/>
    <n v="0"/>
    <s v="—"/>
    <n v="475.11444444444442"/>
  </r>
  <r>
    <x v="13"/>
    <s v="Northwest Vista College (ACCD)"/>
    <n v="420398"/>
    <x v="6"/>
    <s v="sem"/>
    <s v="sem"/>
    <n v="82699"/>
    <n v="86824"/>
    <n v="21933"/>
    <n v="25039"/>
    <n v="3045"/>
    <n v="3266"/>
    <n v="90201"/>
    <n v="99467"/>
    <n v="197878"/>
    <n v="197878"/>
    <n v="13778"/>
    <n v="6595.9333333333334"/>
    <n v="214596"/>
    <n v="214596"/>
    <n v="15928"/>
    <n v="7153.2"/>
    <n v="13342"/>
    <n v="18855"/>
    <n v="5156"/>
    <n v="4189"/>
    <n v="11211"/>
    <n v="8255"/>
    <n v="18628"/>
    <n v="35907"/>
    <n v="48337"/>
    <n v="0"/>
    <s v="—"/>
    <n v="53.707777777777778"/>
    <n v="67206"/>
    <n v="0"/>
    <s v="—"/>
    <n v="74.673333333333332"/>
  </r>
  <r>
    <x v="13"/>
    <s v="Palo Alto College  (ACCD)"/>
    <n v="246354"/>
    <x v="6"/>
    <s v="sem"/>
    <s v="sem"/>
    <n v="65277"/>
    <n v="63996"/>
    <n v="14830"/>
    <n v="16135"/>
    <n v="4957"/>
    <n v="5384"/>
    <n v="68246"/>
    <n v="66314"/>
    <n v="153310"/>
    <n v="153310"/>
    <n v="12109"/>
    <n v="5110.333333333333"/>
    <n v="151829"/>
    <n v="151829"/>
    <n v="13038"/>
    <n v="5060.9666666666662"/>
    <n v="33728"/>
    <n v="61827"/>
    <n v="21790"/>
    <n v="43408"/>
    <n v="46207"/>
    <n v="53657"/>
    <n v="63358"/>
    <n v="85165"/>
    <n v="165083"/>
    <n v="0"/>
    <s v="—"/>
    <n v="183.42555555555555"/>
    <n v="244057"/>
    <n v="0"/>
    <s v="—"/>
    <n v="271.17444444444442"/>
  </r>
  <r>
    <x v="13"/>
    <s v="Richland College  (DCCCD)"/>
    <n v="227766"/>
    <x v="6"/>
    <s v="sem"/>
    <s v="sem"/>
    <n v="116429"/>
    <n v="108744"/>
    <n v="41084"/>
    <n v="44226"/>
    <n v="20254"/>
    <n v="20609"/>
    <n v="102949"/>
    <n v="105202"/>
    <n v="280716"/>
    <n v="280716"/>
    <n v="16732"/>
    <n v="9357.2000000000007"/>
    <n v="278781"/>
    <n v="278781"/>
    <n v="20055"/>
    <n v="9292.7000000000007"/>
    <n v="200933"/>
    <n v="151151"/>
    <n v="216991"/>
    <n v="183877"/>
    <n v="186780"/>
    <n v="172059"/>
    <n v="243980"/>
    <n v="238614"/>
    <n v="848684"/>
    <n v="0"/>
    <s v="—"/>
    <n v="942.98222222222228"/>
    <n v="745701"/>
    <n v="0"/>
    <s v="—"/>
    <n v="828.55666666666662"/>
  </r>
  <r>
    <x v="13"/>
    <s v="San Antonio College (ACCD)"/>
    <n v="227924"/>
    <x v="6"/>
    <s v="sem"/>
    <s v="sem"/>
    <n v="180695"/>
    <n v="183907"/>
    <n v="33632"/>
    <n v="45960"/>
    <n v="28560"/>
    <n v="18125"/>
    <n v="185418"/>
    <n v="185459"/>
    <n v="428305"/>
    <n v="428305"/>
    <n v="15409"/>
    <n v="14276.833333333334"/>
    <n v="433451"/>
    <n v="433451"/>
    <n v="18352"/>
    <n v="14448.366666666667"/>
    <n v="100444"/>
    <n v="98954"/>
    <n v="75584"/>
    <n v="78124"/>
    <n v="94670"/>
    <n v="104905"/>
    <n v="120704"/>
    <n v="137060"/>
    <n v="391402"/>
    <n v="0"/>
    <s v="—"/>
    <n v="434.89111111111112"/>
    <n v="419043"/>
    <n v="0"/>
    <s v="—"/>
    <n v="465.60333333333335"/>
  </r>
  <r>
    <x v="13"/>
    <s v="San Jacinto College"/>
    <n v="227979"/>
    <x v="6"/>
    <s v="sem"/>
    <s v="sem"/>
    <n v="197610"/>
    <n v="198622"/>
    <n v="53031"/>
    <n v="55959"/>
    <m/>
    <n v="0"/>
    <n v="222244"/>
    <n v="234474"/>
    <n v="472885"/>
    <n v="472885"/>
    <n v="19347"/>
    <n v="15762.833333333334"/>
    <n v="489055"/>
    <n v="489055"/>
    <n v="22068"/>
    <n v="16301.833333333334"/>
    <n v="143417"/>
    <n v="131006"/>
    <n v="90139"/>
    <n v="87803"/>
    <n v="170567"/>
    <n v="131353"/>
    <n v="159193"/>
    <n v="134299"/>
    <n v="563316"/>
    <n v="0"/>
    <s v="—"/>
    <n v="625.90666666666664"/>
    <n v="484461"/>
    <n v="0"/>
    <s v="—"/>
    <n v="538.29"/>
  </r>
  <r>
    <x v="13"/>
    <s v="South Plains College "/>
    <n v="228158"/>
    <x v="6"/>
    <s v="sem"/>
    <s v="sem"/>
    <n v="84331"/>
    <n v="84718"/>
    <n v="13428"/>
    <n v="12826"/>
    <n v="6059"/>
    <n v="5753"/>
    <n v="89625"/>
    <n v="88697"/>
    <n v="193443"/>
    <n v="193443"/>
    <n v="8794"/>
    <n v="6448.1"/>
    <n v="191994"/>
    <n v="191994"/>
    <n v="18520"/>
    <n v="6399.8"/>
    <n v="46416"/>
    <n v="42001"/>
    <n v="53847"/>
    <n v="54767"/>
    <n v="46797"/>
    <n v="50661"/>
    <n v="45622"/>
    <n v="73789"/>
    <n v="192682"/>
    <n v="0"/>
    <s v="—"/>
    <n v="214.0911111111111"/>
    <n v="221218"/>
    <n v="0"/>
    <s v="—"/>
    <n v="245.79777777777778"/>
  </r>
  <r>
    <x v="13"/>
    <s v="South Texas College"/>
    <n v="409315"/>
    <x v="6"/>
    <s v="sem"/>
    <s v="sem"/>
    <n v="142223"/>
    <n v="156853"/>
    <n v="24368"/>
    <n v="29231"/>
    <n v="23775"/>
    <n v="27719"/>
    <n v="161452"/>
    <n v="175464"/>
    <n v="351818"/>
    <n v="351818"/>
    <n v="53414"/>
    <n v="11727.266666666666"/>
    <n v="389267"/>
    <n v="389267"/>
    <n v="70739"/>
    <n v="12975.566666666668"/>
    <n v="30419"/>
    <n v="45454"/>
    <n v="30465"/>
    <n v="39703"/>
    <n v="37236"/>
    <n v="43180"/>
    <n v="38947"/>
    <n v="40162"/>
    <n v="137067"/>
    <n v="0"/>
    <s v="—"/>
    <n v="152.29666666666665"/>
    <n v="168499"/>
    <n v="0"/>
    <s v="—"/>
    <n v="187.2211111111111"/>
  </r>
  <r>
    <x v="13"/>
    <s v="St. Philip's College  (ACCD)"/>
    <n v="227854"/>
    <x v="6"/>
    <s v="sem"/>
    <s v="sem"/>
    <n v="87454"/>
    <n v="85644"/>
    <n v="24855"/>
    <n v="26641"/>
    <n v="6477"/>
    <n v="5878"/>
    <n v="84327"/>
    <n v="82104"/>
    <n v="203113"/>
    <n v="203113"/>
    <n v="7744"/>
    <n v="6770.4333333333334"/>
    <n v="200267"/>
    <n v="200267"/>
    <n v="11866"/>
    <n v="6675.5666666666666"/>
    <n v="23136"/>
    <n v="26372"/>
    <n v="34231"/>
    <n v="21378"/>
    <n v="33771"/>
    <n v="26591"/>
    <n v="40520"/>
    <n v="38966"/>
    <n v="131658"/>
    <n v="0"/>
    <s v="—"/>
    <n v="146.28666666666666"/>
    <n v="113307"/>
    <n v="0"/>
    <s v="—"/>
    <n v="125.89666666666666"/>
  </r>
  <r>
    <x v="13"/>
    <s v="Tarrant County College"/>
    <n v="228547"/>
    <x v="6"/>
    <s v="sem"/>
    <s v="sem"/>
    <n v="278738"/>
    <n v="293520"/>
    <n v="111624"/>
    <n v="135531"/>
    <m/>
    <n v="0"/>
    <n v="299150"/>
    <n v="314581"/>
    <n v="689512"/>
    <n v="689512"/>
    <n v="19643"/>
    <n v="22983.733333333334"/>
    <n v="743632"/>
    <n v="743632"/>
    <n v="20175"/>
    <n v="24787.733333333334"/>
    <n v="123742"/>
    <n v="154477"/>
    <n v="163363"/>
    <n v="142443"/>
    <n v="140424"/>
    <n v="147109"/>
    <n v="167872"/>
    <n v="216751"/>
    <n v="595401"/>
    <n v="0"/>
    <s v="—"/>
    <n v="661.55666666666662"/>
    <n v="660780"/>
    <n v="0"/>
    <s v="—"/>
    <n v="734.2"/>
  </r>
  <r>
    <x v="13"/>
    <s v="Texas Southmost College "/>
    <n v="229072"/>
    <x v="6"/>
    <s v="sem"/>
    <s v="sem"/>
    <n v="81467"/>
    <n v="74555"/>
    <n v="14768"/>
    <n v="13205"/>
    <n v="8308"/>
    <n v="7766"/>
    <n v="94309"/>
    <n v="86511"/>
    <n v="198852"/>
    <n v="198852"/>
    <n v="26995"/>
    <n v="6628.4"/>
    <n v="182037"/>
    <n v="182037"/>
    <n v="30751"/>
    <n v="6067.9"/>
    <n v="18071"/>
    <n v="13640"/>
    <n v="8570"/>
    <n v="12688"/>
    <n v="10805"/>
    <n v="15941"/>
    <n v="19203"/>
    <n v="12966"/>
    <n v="56649"/>
    <n v="0"/>
    <s v="—"/>
    <n v="62.943333333333335"/>
    <n v="55235"/>
    <n v="0"/>
    <s v="—"/>
    <n v="61.37222222222222"/>
  </r>
  <r>
    <x v="13"/>
    <s v="Tyler Junior College "/>
    <n v="229355"/>
    <x v="6"/>
    <s v="sem"/>
    <s v="sem"/>
    <n v="88359"/>
    <n v="89074"/>
    <n v="13267"/>
    <n v="19863"/>
    <n v="7247"/>
    <n v="7352"/>
    <n v="89679"/>
    <n v="103234"/>
    <n v="198552"/>
    <n v="198552"/>
    <n v="469"/>
    <n v="6618.4"/>
    <n v="219523"/>
    <n v="219523"/>
    <n v="17128"/>
    <n v="7317.4333333333334"/>
    <n v="48689"/>
    <n v="47665"/>
    <n v="59066"/>
    <n v="79586"/>
    <n v="48478"/>
    <n v="105615"/>
    <n v="60433"/>
    <n v="79459"/>
    <n v="216666"/>
    <n v="0"/>
    <s v="—"/>
    <n v="240.74"/>
    <n v="312325"/>
    <n v="0"/>
    <s v="—"/>
    <n v="347.02777777777777"/>
  </r>
  <r>
    <x v="13"/>
    <s v="Alvin Community College "/>
    <n v="222567"/>
    <x v="7"/>
    <s v="sem"/>
    <s v="sem"/>
    <n v="36471"/>
    <n v="37081"/>
    <n v="15883"/>
    <n v="17954"/>
    <m/>
    <n v="0"/>
    <n v="37753"/>
    <n v="37447"/>
    <n v="90107"/>
    <n v="90107"/>
    <n v="4355"/>
    <n v="3003.5666666666666"/>
    <n v="92482"/>
    <n v="92482"/>
    <n v="6632"/>
    <n v="3082.7333333333331"/>
    <n v="95666"/>
    <n v="28354"/>
    <n v="61770"/>
    <n v="19341"/>
    <n v="73582"/>
    <n v="26632"/>
    <n v="100385"/>
    <n v="34141"/>
    <n v="331403"/>
    <n v="0"/>
    <s v="—"/>
    <n v="368.22555555555556"/>
    <n v="108468"/>
    <n v="0"/>
    <s v="—"/>
    <n v="120.52"/>
  </r>
  <r>
    <x v="13"/>
    <s v="Angelina College "/>
    <n v="222822"/>
    <x v="7"/>
    <s v="sem"/>
    <s v="sem"/>
    <n v="40310"/>
    <n v="40647"/>
    <n v="7714"/>
    <n v="7915"/>
    <n v="3923"/>
    <n v="3270"/>
    <n v="42599"/>
    <n v="43705"/>
    <n v="94546"/>
    <n v="94546"/>
    <n v="2948"/>
    <n v="3151.5333333333333"/>
    <n v="95537"/>
    <n v="95537"/>
    <n v="5619"/>
    <n v="3184.5666666666666"/>
    <n v="59327"/>
    <n v="22935"/>
    <n v="32589"/>
    <n v="67034"/>
    <n v="60706"/>
    <n v="67331"/>
    <n v="28913"/>
    <n v="24362"/>
    <n v="181535"/>
    <n v="0"/>
    <s v="—"/>
    <n v="201.70555555555555"/>
    <n v="181662"/>
    <n v="0"/>
    <s v="—"/>
    <n v="201.84666666666666"/>
  </r>
  <r>
    <x v="13"/>
    <s v="Brazosport College "/>
    <n v="223506"/>
    <x v="7"/>
    <s v="sem"/>
    <s v="sem"/>
    <n v="28303"/>
    <n v="26750"/>
    <n v="7828"/>
    <n v="7989"/>
    <n v="2715"/>
    <n v="2843"/>
    <n v="29245"/>
    <n v="30430"/>
    <n v="68091"/>
    <n v="68091"/>
    <n v="6825"/>
    <n v="2269.6999999999998"/>
    <n v="68012"/>
    <n v="68012"/>
    <n v="8672"/>
    <n v="2267.0666666666666"/>
    <n v="17656"/>
    <n v="10939"/>
    <n v="9841"/>
    <n v="10808"/>
    <n v="3539"/>
    <n v="4362"/>
    <n v="18310"/>
    <n v="13431"/>
    <n v="49346"/>
    <n v="0"/>
    <s v="—"/>
    <n v="54.828888888888891"/>
    <n v="39540"/>
    <n v="0"/>
    <s v="—"/>
    <n v="43.93333333333333"/>
  </r>
  <r>
    <x v="13"/>
    <s v="Cedar Valley College  (DCCCD)"/>
    <n v="223773"/>
    <x v="7"/>
    <s v="sem"/>
    <s v="sem"/>
    <n v="37049"/>
    <n v="33239"/>
    <n v="10817"/>
    <n v="14756"/>
    <n v="6286"/>
    <n v="6886"/>
    <n v="33724"/>
    <n v="34765"/>
    <n v="87876"/>
    <n v="87876"/>
    <n v="3457"/>
    <n v="2929.2"/>
    <n v="89646"/>
    <n v="89646"/>
    <n v="5842"/>
    <n v="2988.2"/>
    <n v="59925"/>
    <n v="58260"/>
    <n v="74472"/>
    <n v="92342"/>
    <n v="66677"/>
    <n v="78542"/>
    <n v="95481"/>
    <n v="74504"/>
    <n v="296555"/>
    <n v="0"/>
    <s v="—"/>
    <n v="329.50555555555553"/>
    <n v="303648"/>
    <n v="0"/>
    <s v="—"/>
    <n v="337.38666666666666"/>
  </r>
  <r>
    <x v="13"/>
    <s v="Cisco Junior College"/>
    <n v="223898"/>
    <x v="7"/>
    <s v="sem"/>
    <s v="sem"/>
    <n v="33284"/>
    <n v="30996"/>
    <n v="6206"/>
    <n v="6082"/>
    <n v="2033"/>
    <n v="1757"/>
    <n v="33035"/>
    <n v="36078"/>
    <n v="74558"/>
    <n v="74558"/>
    <n v="1828"/>
    <n v="2485.2666666666669"/>
    <n v="74913"/>
    <n v="74913"/>
    <n v="1734"/>
    <n v="2497.1"/>
    <n v="5162"/>
    <n v="2693"/>
    <n v="3313"/>
    <n v="4640"/>
    <n v="1212"/>
    <n v="1613"/>
    <n v="1994"/>
    <n v="3106"/>
    <n v="11681"/>
    <n v="0"/>
    <s v="—"/>
    <n v="12.978888888888889"/>
    <n v="12052"/>
    <n v="0"/>
    <s v="—"/>
    <n v="13.391111111111112"/>
  </r>
  <r>
    <x v="13"/>
    <s v="Coastal Bend College"/>
    <n v="223320"/>
    <x v="7"/>
    <s v="sem"/>
    <s v="sem"/>
    <n v="24801"/>
    <n v="25049"/>
    <n v="7390"/>
    <n v="9395"/>
    <n v="1203"/>
    <n v="2096"/>
    <n v="26842"/>
    <n v="30982"/>
    <n v="60236"/>
    <n v="60236"/>
    <n v="6766"/>
    <n v="2007.8666666666666"/>
    <n v="67522"/>
    <n v="67522"/>
    <n v="4670"/>
    <n v="2250.7333333333331"/>
    <n v="22858"/>
    <n v="28175"/>
    <n v="35574"/>
    <n v="51155"/>
    <n v="37825"/>
    <n v="46501"/>
    <n v="20513"/>
    <n v="33348"/>
    <n v="116770"/>
    <n v="0"/>
    <s v="—"/>
    <n v="129.74444444444444"/>
    <n v="159179"/>
    <n v="0"/>
    <s v="—"/>
    <n v="176.86555555555555"/>
  </r>
  <r>
    <x v="13"/>
    <s v="College of the Mainland"/>
    <n v="226408"/>
    <x v="7"/>
    <s v="sem"/>
    <s v="sem"/>
    <n v="29986"/>
    <n v="29657"/>
    <n v="6135"/>
    <n v="7414"/>
    <n v="5687"/>
    <n v="6148"/>
    <n v="28778"/>
    <n v="29284"/>
    <n v="70586"/>
    <n v="70586"/>
    <n v="5835"/>
    <n v="2352.8666666666668"/>
    <n v="72503"/>
    <n v="72503"/>
    <n v="5935"/>
    <n v="2416.7666666666669"/>
    <n v="55463"/>
    <n v="48642"/>
    <n v="25434"/>
    <n v="24600"/>
    <n v="44587"/>
    <n v="48721"/>
    <n v="62305"/>
    <n v="32718"/>
    <n v="187789"/>
    <n v="0"/>
    <s v="—"/>
    <n v="208.65444444444444"/>
    <n v="154681"/>
    <n v="0"/>
    <s v="—"/>
    <n v="171.86777777777777"/>
  </r>
  <r>
    <x v="13"/>
    <s v="El Centro College  (DCCCD)"/>
    <n v="224615"/>
    <x v="7"/>
    <s v="sem"/>
    <s v="sem"/>
    <n v="51042"/>
    <n v="51189"/>
    <n v="10634"/>
    <n v="13902"/>
    <n v="6516"/>
    <n v="7614"/>
    <n v="50058"/>
    <n v="53839"/>
    <n v="118250"/>
    <n v="118250"/>
    <n v="4318"/>
    <n v="3941.6666666666665"/>
    <n v="126544"/>
    <n v="126544"/>
    <n v="6383"/>
    <n v="4218.1333333333332"/>
    <n v="200363"/>
    <n v="199937"/>
    <n v="191320"/>
    <n v="260001"/>
    <n v="209923"/>
    <n v="319320"/>
    <n v="239109"/>
    <n v="380788"/>
    <n v="840715"/>
    <n v="0"/>
    <s v="—"/>
    <n v="934.12777777777774"/>
    <n v="1160046"/>
    <n v="0"/>
    <s v="—"/>
    <n v="1288.94"/>
  </r>
  <r>
    <x v="13"/>
    <s v="Grayson County College "/>
    <n v="225070"/>
    <x v="7"/>
    <s v="sem"/>
    <s v="sem"/>
    <n v="36329"/>
    <n v="36025"/>
    <n v="6629"/>
    <n v="7273"/>
    <n v="2083"/>
    <n v="2260"/>
    <n v="36899"/>
    <n v="40157"/>
    <n v="81940"/>
    <n v="81940"/>
    <n v="0"/>
    <n v="2731.3333333333335"/>
    <n v="85715"/>
    <n v="85715"/>
    <n v="3815"/>
    <n v="2857.1666666666665"/>
    <n v="30650"/>
    <n v="26451"/>
    <n v="34088"/>
    <n v="35125"/>
    <n v="37745"/>
    <n v="33997"/>
    <n v="40245"/>
    <n v="28571"/>
    <n v="142728"/>
    <n v="0"/>
    <s v="—"/>
    <n v="158.58666666666667"/>
    <n v="124144"/>
    <n v="0"/>
    <s v="—"/>
    <n v="137.93777777777777"/>
  </r>
  <r>
    <x v="13"/>
    <s v="Hill College"/>
    <n v="225371"/>
    <x v="7"/>
    <s v="sem"/>
    <s v="sem"/>
    <n v="31219"/>
    <n v="29931"/>
    <n v="5567"/>
    <n v="7466"/>
    <n v="1667"/>
    <n v="1918"/>
    <n v="31133"/>
    <n v="33830"/>
    <n v="69586"/>
    <n v="69586"/>
    <n v="10409"/>
    <n v="2319.5333333333333"/>
    <n v="73145"/>
    <n v="73145"/>
    <n v="8189"/>
    <n v="2438.1666666666665"/>
    <n v="92047"/>
    <n v="19828"/>
    <n v="35113"/>
    <n v="17580"/>
    <n v="23223"/>
    <n v="26486"/>
    <n v="16995"/>
    <n v="17196"/>
    <n v="167378"/>
    <n v="0"/>
    <s v="—"/>
    <n v="185.97555555555556"/>
    <n v="81090"/>
    <n v="0"/>
    <s v="—"/>
    <n v="90.1"/>
  </r>
  <r>
    <x v="13"/>
    <s v="Howard College (HCJCD)"/>
    <n v="225520"/>
    <x v="7"/>
    <s v="sem"/>
    <s v="sem"/>
    <n v="24569"/>
    <n v="26299"/>
    <n v="1076"/>
    <n v="4842"/>
    <n v="5185"/>
    <n v="2238"/>
    <n v="27711"/>
    <n v="28526"/>
    <n v="58541"/>
    <n v="58541"/>
    <n v="2326"/>
    <n v="1951.3666666666666"/>
    <n v="61905"/>
    <n v="61905"/>
    <n v="11052"/>
    <n v="2063.5"/>
    <n v="221114"/>
    <n v="215791"/>
    <n v="240571"/>
    <n v="255640"/>
    <n v="267985"/>
    <n v="244486"/>
    <n v="230966"/>
    <n v="249635"/>
    <n v="960636"/>
    <n v="0"/>
    <s v="—"/>
    <n v="1067.3733333333332"/>
    <n v="965552"/>
    <n v="0"/>
    <s v="—"/>
    <n v="1072.8355555555556"/>
  </r>
  <r>
    <x v="13"/>
    <s v="Kilgore College "/>
    <n v="226019"/>
    <x v="7"/>
    <s v="sem"/>
    <s v="sem"/>
    <n v="45351"/>
    <n v="49164"/>
    <n v="8574"/>
    <n v="9351"/>
    <n v="5828"/>
    <n v="6273"/>
    <n v="50875"/>
    <n v="53146"/>
    <n v="110628"/>
    <n v="110628"/>
    <n v="3684"/>
    <n v="3687.6"/>
    <n v="117934"/>
    <n v="117934"/>
    <n v="5919"/>
    <n v="3931.1333333333332"/>
    <n v="156928"/>
    <n v="174106"/>
    <n v="104327"/>
    <n v="293166"/>
    <n v="111790"/>
    <n v="195562"/>
    <n v="231572"/>
    <n v="150561"/>
    <n v="604617"/>
    <n v="0"/>
    <s v="—"/>
    <n v="671.79666666666662"/>
    <n v="813395"/>
    <n v="0"/>
    <s v="—"/>
    <n v="903.77222222222224"/>
  </r>
  <r>
    <x v="13"/>
    <s v="Lamar Institute of Technology"/>
    <n v="441760"/>
    <x v="7"/>
    <s v="sem"/>
    <s v="sem"/>
    <n v="23587"/>
    <n v="25456"/>
    <n v="1887"/>
    <n v="2135"/>
    <n v="1533"/>
    <n v="1569"/>
    <n v="27917"/>
    <n v="31316"/>
    <n v="54924"/>
    <n v="54924"/>
    <n v="0"/>
    <n v="1830.8"/>
    <n v="60476"/>
    <n v="60476"/>
    <n v="666"/>
    <n v="2015.8666666666666"/>
    <n v="65698"/>
    <n v="44138"/>
    <n v="60494"/>
    <n v="76260"/>
    <n v="35938"/>
    <n v="61507"/>
    <n v="57915"/>
    <n v="46522"/>
    <n v="220045"/>
    <n v="0"/>
    <s v="—"/>
    <n v="244.49444444444444"/>
    <n v="228427"/>
    <n v="0"/>
    <s v="—"/>
    <n v="253.80777777777777"/>
  </r>
  <r>
    <x v="13"/>
    <s v="Lee College "/>
    <n v="226204"/>
    <x v="7"/>
    <s v="sem"/>
    <s v="sem"/>
    <n v="50849"/>
    <n v="51279"/>
    <n v="19939"/>
    <n v="21552"/>
    <n v="2859"/>
    <n v="3504"/>
    <n v="49383"/>
    <n v="48670"/>
    <n v="123030"/>
    <n v="123030"/>
    <n v="2886"/>
    <n v="4101"/>
    <n v="125005"/>
    <n v="125005"/>
    <n v="4770"/>
    <n v="4166.833333333333"/>
    <n v="37762"/>
    <n v="51196"/>
    <n v="43101"/>
    <n v="38788"/>
    <n v="44877"/>
    <n v="45347"/>
    <n v="27897"/>
    <n v="34741"/>
    <n v="153637"/>
    <n v="0"/>
    <s v="—"/>
    <n v="170.70777777777778"/>
    <n v="170072"/>
    <n v="0"/>
    <s v="—"/>
    <n v="188.9688888888889"/>
  </r>
  <r>
    <x v="13"/>
    <s v="Midland College "/>
    <n v="226806"/>
    <x v="7"/>
    <s v="sem"/>
    <s v="sem"/>
    <n v="47032"/>
    <n v="46531"/>
    <n v="8986"/>
    <n v="9539"/>
    <n v="8283"/>
    <n v="9178"/>
    <n v="46261"/>
    <n v="46675"/>
    <n v="110562"/>
    <n v="110562"/>
    <n v="10305"/>
    <n v="3685.4"/>
    <n v="111923"/>
    <n v="111923"/>
    <n v="9865"/>
    <n v="3730.7666666666669"/>
    <n v="49736"/>
    <n v="50419"/>
    <n v="45679"/>
    <n v="48818"/>
    <n v="38062"/>
    <n v="30392"/>
    <n v="64755"/>
    <n v="51646"/>
    <n v="198232"/>
    <n v="0"/>
    <s v="—"/>
    <n v="220.25777777777779"/>
    <n v="181275"/>
    <n v="0"/>
    <s v="—"/>
    <n v="201.41666666666666"/>
  </r>
  <r>
    <x v="13"/>
    <s v="Mountain View College  (DCCCD)"/>
    <n v="226930"/>
    <x v="7"/>
    <s v="sem"/>
    <s v="sem"/>
    <n v="48314"/>
    <n v="47160"/>
    <n v="13777"/>
    <n v="16028"/>
    <n v="7674"/>
    <n v="7157"/>
    <n v="46923"/>
    <n v="46834"/>
    <n v="116688"/>
    <n v="116688"/>
    <n v="6604"/>
    <n v="3889.6"/>
    <n v="117179"/>
    <n v="117179"/>
    <n v="6036"/>
    <n v="3905.9666666666667"/>
    <n v="31233"/>
    <n v="37533"/>
    <n v="35963"/>
    <n v="39404"/>
    <n v="45904"/>
    <n v="29764"/>
    <n v="36853"/>
    <n v="50054"/>
    <n v="149953"/>
    <n v="0"/>
    <s v="—"/>
    <n v="166.61444444444444"/>
    <n v="156755"/>
    <n v="0"/>
    <s v="—"/>
    <n v="174.17222222222222"/>
  </r>
  <r>
    <x v="13"/>
    <s v="North Central Texas Community College"/>
    <n v="224110"/>
    <x v="7"/>
    <s v="sem"/>
    <s v="sem"/>
    <n v="60637"/>
    <n v="61383"/>
    <n v="16345"/>
    <n v="19389"/>
    <m/>
    <n v="0"/>
    <n v="64242"/>
    <n v="69853"/>
    <n v="141224"/>
    <n v="141224"/>
    <n v="4019"/>
    <n v="4707.4666666666662"/>
    <n v="150625"/>
    <n v="150625"/>
    <n v="7989"/>
    <n v="5020.833333333333"/>
    <n v="17662"/>
    <n v="8528"/>
    <n v="5467"/>
    <n v="11557"/>
    <n v="7962"/>
    <n v="8953"/>
    <n v="14444"/>
    <n v="23510"/>
    <n v="45535"/>
    <n v="0"/>
    <s v="—"/>
    <n v="50.594444444444441"/>
    <n v="52548"/>
    <n v="0"/>
    <s v="—"/>
    <n v="58.386666666666663"/>
  </r>
  <r>
    <x v="13"/>
    <s v="Odessa College "/>
    <n v="227304"/>
    <x v="7"/>
    <s v="sem"/>
    <s v="sem"/>
    <n v="36783"/>
    <n v="36714"/>
    <n v="5580"/>
    <n v="6511"/>
    <n v="3545"/>
    <n v="4747"/>
    <n v="37552"/>
    <n v="38791"/>
    <n v="83460"/>
    <n v="83460"/>
    <n v="7132"/>
    <n v="2782"/>
    <n v="86763"/>
    <n v="86763"/>
    <n v="8344"/>
    <n v="2892.1"/>
    <n v="61884"/>
    <n v="58109"/>
    <n v="50795"/>
    <n v="82846"/>
    <n v="62271"/>
    <n v="81785"/>
    <n v="70979"/>
    <n v="81177"/>
    <n v="245929"/>
    <n v="0"/>
    <s v="—"/>
    <n v="273.25444444444446"/>
    <n v="303917"/>
    <n v="0"/>
    <s v="—"/>
    <n v="337.68555555555554"/>
  </r>
  <r>
    <x v="13"/>
    <s v="Paris Junior College"/>
    <n v="227401"/>
    <x v="7"/>
    <s v="sem"/>
    <s v="sem"/>
    <n v="36149"/>
    <n v="37827"/>
    <n v="7328"/>
    <n v="7710"/>
    <n v="5006"/>
    <n v="5083"/>
    <n v="39397"/>
    <n v="42324"/>
    <n v="87880"/>
    <n v="87880"/>
    <n v="5871"/>
    <n v="2929.3333333333335"/>
    <n v="92944"/>
    <n v="92944"/>
    <n v="8390"/>
    <n v="3098.1333333333332"/>
    <n v="28874"/>
    <n v="13540"/>
    <n v="21612"/>
    <n v="28083"/>
    <n v="26139"/>
    <n v="24720"/>
    <n v="14321"/>
    <n v="19820"/>
    <n v="90946"/>
    <n v="0"/>
    <s v="—"/>
    <n v="101.05111111111111"/>
    <n v="86163"/>
    <n v="0"/>
    <s v="—"/>
    <n v="95.736666666666665"/>
  </r>
  <r>
    <x v="13"/>
    <s v="Southwest Texas Junior College "/>
    <n v="228316"/>
    <x v="7"/>
    <s v="sem"/>
    <s v="sem"/>
    <n v="39302"/>
    <n v="37925"/>
    <n v="8111"/>
    <n v="8372"/>
    <n v="3239"/>
    <n v="3620"/>
    <n v="43386"/>
    <n v="43253"/>
    <n v="94038"/>
    <n v="94038"/>
    <n v="11206"/>
    <n v="3134.6"/>
    <n v="93170"/>
    <n v="93170"/>
    <n v="12564"/>
    <n v="3105.6666666666665"/>
    <n v="34781"/>
    <n v="11895"/>
    <n v="27327"/>
    <n v="33433"/>
    <n v="27283"/>
    <n v="25356"/>
    <n v="21965"/>
    <n v="15276"/>
    <n v="111356"/>
    <n v="0"/>
    <s v="—"/>
    <n v="123.72888888888889"/>
    <n v="85960"/>
    <n v="0"/>
    <s v="—"/>
    <n v="95.511111111111106"/>
  </r>
  <r>
    <x v="13"/>
    <s v="Temple College "/>
    <n v="228608"/>
    <x v="7"/>
    <s v="sem"/>
    <s v="sem"/>
    <n v="36251"/>
    <n v="40573"/>
    <n v="9397"/>
    <n v="10959"/>
    <m/>
    <n v="0"/>
    <n v="44362"/>
    <n v="47788"/>
    <n v="90010"/>
    <n v="90010"/>
    <n v="8188"/>
    <n v="3000.3333333333335"/>
    <n v="99320"/>
    <n v="99320"/>
    <n v="10613"/>
    <n v="3310.6666666666665"/>
    <n v="30717"/>
    <n v="25081"/>
    <n v="24252"/>
    <n v="37240"/>
    <n v="28118"/>
    <n v="19193"/>
    <n v="28168"/>
    <n v="25037"/>
    <n v="111255"/>
    <n v="0"/>
    <s v="—"/>
    <n v="123.61666666666666"/>
    <n v="106551"/>
    <n v="0"/>
    <s v="—"/>
    <n v="118.39"/>
  </r>
  <r>
    <x v="13"/>
    <s v="Texarkana College "/>
    <n v="228699"/>
    <x v="7"/>
    <s v="sem"/>
    <s v="sem"/>
    <n v="32484"/>
    <n v="34480"/>
    <n v="9958"/>
    <n v="11132"/>
    <n v="2455"/>
    <n v="2291"/>
    <n v="39570"/>
    <n v="41762"/>
    <n v="84467"/>
    <n v="84467"/>
    <n v="6309"/>
    <n v="2815.5666666666666"/>
    <n v="89665"/>
    <n v="89665"/>
    <n v="8803"/>
    <n v="2988.8333333333335"/>
    <n v="103054"/>
    <n v="26592"/>
    <n v="95453"/>
    <n v="181522"/>
    <n v="103377"/>
    <n v="104136"/>
    <n v="114998"/>
    <n v="96631"/>
    <n v="416882"/>
    <n v="0"/>
    <s v="—"/>
    <n v="463.20222222222225"/>
    <n v="408881"/>
    <n v="0"/>
    <s v="—"/>
    <n v="454.3122222222222"/>
  </r>
  <r>
    <x v="13"/>
    <s v="Texas State Technical College-Harlingen "/>
    <n v="229319"/>
    <x v="7"/>
    <s v="sem"/>
    <s v="sem"/>
    <n v="36215"/>
    <n v="36572"/>
    <n v="23994"/>
    <n v="29524"/>
    <m/>
    <n v="0"/>
    <n v="44091"/>
    <n v="46369"/>
    <n v="104300"/>
    <n v="104300"/>
    <n v="9761"/>
    <n v="3476.6666666666665"/>
    <n v="112465"/>
    <n v="112465"/>
    <n v="14940"/>
    <n v="3748.8333333333335"/>
    <n v="70683"/>
    <n v="48048"/>
    <n v="68846"/>
    <n v="50176"/>
    <n v="39523"/>
    <n v="36111"/>
    <n v="41384"/>
    <n v="34126"/>
    <n v="220436"/>
    <n v="0"/>
    <s v="—"/>
    <n v="244.92888888888888"/>
    <n v="168461"/>
    <n v="0"/>
    <s v="—"/>
    <n v="187.17888888888888"/>
  </r>
  <r>
    <x v="13"/>
    <s v="Texas State Technical College-Waco"/>
    <n v="228680"/>
    <x v="7"/>
    <s v="sem"/>
    <s v="sem"/>
    <n v="44710"/>
    <n v="43385"/>
    <n v="28639"/>
    <n v="28846"/>
    <m/>
    <n v="0"/>
    <n v="49938"/>
    <n v="53229"/>
    <n v="123287"/>
    <n v="123287"/>
    <n v="2609"/>
    <n v="4109.5666666666666"/>
    <n v="125460"/>
    <n v="125460"/>
    <n v="5507"/>
    <n v="4182"/>
    <n v="25480"/>
    <n v="33193"/>
    <n v="12628"/>
    <n v="30207"/>
    <n v="13080"/>
    <n v="10606"/>
    <n v="27913"/>
    <n v="10968"/>
    <n v="79101"/>
    <n v="0"/>
    <s v="—"/>
    <n v="87.89"/>
    <n v="84974"/>
    <n v="0"/>
    <s v="—"/>
    <n v="94.415555555555557"/>
  </r>
  <r>
    <x v="13"/>
    <s v="Trinity Valley Community College"/>
    <n v="225308"/>
    <x v="7"/>
    <s v="sem"/>
    <s v="sem"/>
    <n v="53100"/>
    <n v="52993"/>
    <n v="14537"/>
    <n v="14283"/>
    <n v="9943"/>
    <n v="11096"/>
    <n v="53544"/>
    <n v="55693"/>
    <n v="131124"/>
    <n v="131124"/>
    <n v="10238"/>
    <n v="4370.8"/>
    <n v="134065"/>
    <n v="134065"/>
    <n v="10856"/>
    <n v="4468.833333333333"/>
    <n v="68834"/>
    <n v="61705"/>
    <n v="39498"/>
    <n v="47948"/>
    <n v="45607"/>
    <n v="42737"/>
    <n v="64956"/>
    <n v="44754"/>
    <n v="218895"/>
    <n v="0"/>
    <s v="—"/>
    <n v="243.21666666666667"/>
    <n v="197144"/>
    <n v="0"/>
    <s v="—"/>
    <n v="219.04888888888888"/>
  </r>
  <r>
    <x v="13"/>
    <s v="Vernon College "/>
    <n v="229504"/>
    <x v="7"/>
    <s v="sem"/>
    <s v="sem"/>
    <n v="24050"/>
    <n v="24036"/>
    <n v="3274"/>
    <n v="4052"/>
    <n v="5112"/>
    <n v="5547"/>
    <n v="23598"/>
    <n v="23848"/>
    <n v="56034"/>
    <n v="56034"/>
    <n v="2802"/>
    <n v="1867.8"/>
    <n v="57483"/>
    <n v="57483"/>
    <n v="5398"/>
    <n v="1916.1"/>
    <n v="61246"/>
    <n v="53251"/>
    <n v="35381"/>
    <n v="35604"/>
    <n v="24665"/>
    <n v="36109"/>
    <n v="40143"/>
    <n v="63028"/>
    <n v="161435"/>
    <n v="0"/>
    <s v="—"/>
    <n v="179.37222222222223"/>
    <n v="187992"/>
    <n v="0"/>
    <s v="—"/>
    <n v="208.88"/>
  </r>
  <r>
    <x v="13"/>
    <s v="Victoria College "/>
    <n v="229540"/>
    <x v="7"/>
    <s v="sem"/>
    <s v="sem"/>
    <n v="32122"/>
    <n v="31529"/>
    <n v="6547"/>
    <n v="6856"/>
    <n v="2098"/>
    <n v="2115"/>
    <n v="33515"/>
    <n v="33728"/>
    <n v="74282"/>
    <n v="74282"/>
    <n v="3037"/>
    <n v="2476.0666666666666"/>
    <n v="74228"/>
    <n v="74228"/>
    <n v="2867"/>
    <n v="2474.2666666666669"/>
    <n v="49128"/>
    <n v="41861"/>
    <n v="29436"/>
    <n v="36039"/>
    <n v="35174"/>
    <n v="57549"/>
    <n v="27787"/>
    <n v="53414"/>
    <n v="141525"/>
    <n v="0"/>
    <s v="—"/>
    <n v="157.25"/>
    <n v="188863"/>
    <n v="0"/>
    <s v="—"/>
    <n v="209.84777777777776"/>
  </r>
  <r>
    <x v="13"/>
    <s v="Weatherford College "/>
    <n v="229799"/>
    <x v="7"/>
    <s v="sem"/>
    <s v="sem"/>
    <n v="39045"/>
    <n v="38668"/>
    <n v="5844"/>
    <n v="6174"/>
    <n v="2788"/>
    <n v="3427"/>
    <n v="43324"/>
    <n v="45241"/>
    <n v="91001"/>
    <n v="91001"/>
    <n v="2972"/>
    <n v="3033.3666666666668"/>
    <n v="93510"/>
    <n v="93510"/>
    <n v="5461"/>
    <n v="3117"/>
    <n v="84163"/>
    <n v="23281"/>
    <n v="85792"/>
    <n v="24296"/>
    <n v="57159"/>
    <n v="24572"/>
    <n v="87219"/>
    <n v="40112"/>
    <n v="314333"/>
    <n v="0"/>
    <s v="—"/>
    <n v="349.25888888888886"/>
    <n v="112261"/>
    <n v="0"/>
    <s v="—"/>
    <n v="124.73444444444445"/>
  </r>
  <r>
    <x v="13"/>
    <s v="Wharton County Junior College "/>
    <n v="229841"/>
    <x v="7"/>
    <s v="sem"/>
    <s v="sem"/>
    <n v="51089"/>
    <n v="50540"/>
    <n v="9578"/>
    <n v="10405"/>
    <n v="5541"/>
    <n v="5452"/>
    <n v="54346"/>
    <n v="56027"/>
    <n v="120554"/>
    <n v="120554"/>
    <n v="6989"/>
    <n v="4018.4666666666667"/>
    <n v="122424"/>
    <n v="122424"/>
    <n v="8129"/>
    <n v="4080.8"/>
    <n v="4794"/>
    <n v="5774"/>
    <n v="5441"/>
    <n v="3482"/>
    <n v="10068"/>
    <n v="7076"/>
    <n v="6851"/>
    <n v="9395"/>
    <n v="27154"/>
    <n v="0"/>
    <s v="—"/>
    <n v="30.171111111111109"/>
    <n v="25727"/>
    <n v="0"/>
    <s v="—"/>
    <n v="28.585555555555555"/>
  </r>
  <r>
    <x v="13"/>
    <s v="Clarendon College "/>
    <n v="223922"/>
    <x v="8"/>
    <s v="sem"/>
    <s v="sem"/>
    <n v="10645"/>
    <n v="10699"/>
    <n v="2219"/>
    <n v="1803"/>
    <n v="370"/>
    <n v="1016"/>
    <n v="11637"/>
    <n v="13381"/>
    <n v="24871"/>
    <n v="24871"/>
    <n v="2771"/>
    <n v="829.0333333333333"/>
    <n v="26899"/>
    <n v="26899"/>
    <n v="3204"/>
    <n v="896.63333333333333"/>
    <n v="1474"/>
    <n v="5000"/>
    <n v="591"/>
    <n v="3688"/>
    <n v="186"/>
    <n v="544"/>
    <n v="3290"/>
    <n v="3472"/>
    <n v="5541"/>
    <n v="0"/>
    <s v="—"/>
    <n v="6.1566666666666663"/>
    <n v="12704"/>
    <n v="0"/>
    <s v="—"/>
    <n v="14.115555555555556"/>
  </r>
  <r>
    <x v="13"/>
    <s v="Frank Phillips College "/>
    <n v="224891"/>
    <x v="8"/>
    <s v="sem"/>
    <s v="sem"/>
    <n v="11516"/>
    <n v="11563"/>
    <n v="1955"/>
    <n v="2008"/>
    <n v="780"/>
    <n v="756"/>
    <n v="11949"/>
    <n v="11408"/>
    <n v="26200"/>
    <n v="26200"/>
    <n v="4785"/>
    <n v="873.33333333333337"/>
    <n v="25735"/>
    <n v="25735"/>
    <n v="4798"/>
    <n v="857.83333333333337"/>
    <n v="43193"/>
    <n v="18845"/>
    <n v="34064"/>
    <n v="34349"/>
    <n v="22252"/>
    <n v="25379"/>
    <n v="29834"/>
    <n v="25422"/>
    <n v="129343"/>
    <n v="0"/>
    <s v="—"/>
    <n v="143.71444444444444"/>
    <n v="103995"/>
    <n v="0"/>
    <s v="—"/>
    <n v="115.55"/>
  </r>
  <r>
    <x v="13"/>
    <s v="Galveston College "/>
    <n v="224961"/>
    <x v="8"/>
    <s v="sem"/>
    <s v="sem"/>
    <n v="18301"/>
    <n v="17074"/>
    <n v="5165"/>
    <n v="5350"/>
    <n v="1682"/>
    <n v="1655"/>
    <n v="16129"/>
    <n v="17237"/>
    <n v="41277"/>
    <n v="41277"/>
    <n v="1497"/>
    <n v="1375.9"/>
    <n v="41316"/>
    <n v="41316"/>
    <n v="2274"/>
    <n v="1377.2"/>
    <n v="13700"/>
    <n v="13253"/>
    <n v="4882"/>
    <n v="5535"/>
    <n v="7650"/>
    <n v="3350"/>
    <n v="12171"/>
    <n v="3840"/>
    <n v="38403"/>
    <n v="0"/>
    <s v="—"/>
    <n v="42.67"/>
    <n v="25978"/>
    <n v="0"/>
    <s v="—"/>
    <n v="28.864444444444445"/>
  </r>
  <r>
    <x v="13"/>
    <s v="Lamar State College-Orange"/>
    <n v="226107"/>
    <x v="8"/>
    <s v="sem"/>
    <s v="sem"/>
    <n v="17229"/>
    <n v="17643"/>
    <n v="4109"/>
    <n v="4179"/>
    <n v="1169"/>
    <n v="1424"/>
    <n v="18908"/>
    <n v="20118"/>
    <n v="41415"/>
    <n v="41415"/>
    <n v="1773"/>
    <n v="1380.5"/>
    <n v="43364"/>
    <n v="43364"/>
    <n v="2382"/>
    <n v="1445.4666666666667"/>
    <n v="4088"/>
    <n v="18826"/>
    <n v="2852"/>
    <n v="12088"/>
    <n v="27732"/>
    <n v="10198"/>
    <n v="13136"/>
    <n v="898"/>
    <n v="47808"/>
    <n v="0"/>
    <s v="—"/>
    <n v="53.12"/>
    <n v="42010"/>
    <n v="0"/>
    <s v="—"/>
    <n v="46.677777777777777"/>
  </r>
  <r>
    <x v="13"/>
    <s v="Lamar State College-Port Arthur"/>
    <n v="226116"/>
    <x v="8"/>
    <s v="sem"/>
    <s v="sem"/>
    <n v="19787"/>
    <n v="18514"/>
    <n v="2352"/>
    <n v="2239"/>
    <n v="3860"/>
    <n v="3428"/>
    <n v="20812"/>
    <n v="18132"/>
    <n v="46811"/>
    <n v="46811"/>
    <n v="1995"/>
    <n v="1560.3666666666666"/>
    <n v="42313"/>
    <n v="42313"/>
    <n v="2408"/>
    <n v="1410.4333333333334"/>
    <n v="81208"/>
    <n v="85364"/>
    <n v="68288"/>
    <n v="64544"/>
    <n v="95531"/>
    <n v="94796"/>
    <n v="66764"/>
    <n v="60903"/>
    <n v="311791"/>
    <n v="0"/>
    <s v="—"/>
    <n v="346.43444444444447"/>
    <n v="305607"/>
    <n v="0"/>
    <s v="—"/>
    <n v="339.56333333333333"/>
  </r>
  <r>
    <x v="13"/>
    <s v="Northeast Lakeview College (ACCD)"/>
    <m/>
    <x v="8"/>
    <s v="sem"/>
    <s v="sem"/>
    <m/>
    <n v="1527"/>
    <m/>
    <n v="763"/>
    <m/>
    <n v="689"/>
    <n v="895"/>
    <n v="3836"/>
    <n v="895"/>
    <n v="895"/>
    <n v="0"/>
    <n v="29.833333333333332"/>
    <n v="6815"/>
    <n v="6815"/>
    <n v="13"/>
    <n v="227.16666666666666"/>
    <m/>
    <n v="0"/>
    <m/>
    <n v="0"/>
    <m/>
    <n v="0"/>
    <m/>
    <n v="0"/>
    <n v="0"/>
    <n v="0"/>
    <s v="—"/>
    <n v="0"/>
    <n v="0"/>
    <n v="0"/>
    <s v="—"/>
    <n v="0"/>
  </r>
  <r>
    <x v="13"/>
    <s v="Northeast Texas Community College "/>
    <n v="227225"/>
    <x v="8"/>
    <s v="sem"/>
    <s v="sem"/>
    <n v="21924"/>
    <n v="21364"/>
    <n v="5296"/>
    <n v="6416"/>
    <n v="2426"/>
    <n v="2581"/>
    <n v="22588"/>
    <n v="23640"/>
    <n v="52234"/>
    <n v="52234"/>
    <n v="426"/>
    <n v="1741.1333333333334"/>
    <n v="54001"/>
    <n v="54001"/>
    <n v="906"/>
    <n v="1800.0333333333333"/>
    <n v="8764"/>
    <n v="6844"/>
    <n v="14065"/>
    <n v="10808"/>
    <n v="5865"/>
    <n v="6062"/>
    <n v="3854"/>
    <n v="5709"/>
    <n v="32548"/>
    <n v="0"/>
    <s v="—"/>
    <n v="36.164444444444442"/>
    <n v="29423"/>
    <n v="0"/>
    <s v="—"/>
    <n v="32.69222222222222"/>
  </r>
  <r>
    <x v="13"/>
    <s v="Panola College"/>
    <n v="227386"/>
    <x v="8"/>
    <s v="sem"/>
    <s v="sem"/>
    <n v="17158"/>
    <n v="17305"/>
    <n v="3818"/>
    <n v="3948"/>
    <n v="1263"/>
    <n v="1187"/>
    <n v="18289"/>
    <n v="19200"/>
    <n v="40528"/>
    <n v="40528"/>
    <n v="3178"/>
    <n v="1350.9333333333334"/>
    <n v="41640"/>
    <n v="41640"/>
    <n v="3202"/>
    <n v="1388"/>
    <n v="11649"/>
    <n v="6770"/>
    <n v="13729"/>
    <n v="11371"/>
    <n v="11131"/>
    <n v="12569"/>
    <n v="9289"/>
    <n v="17430"/>
    <n v="45798"/>
    <n v="0"/>
    <s v="—"/>
    <n v="50.886666666666663"/>
    <n v="48140"/>
    <n v="0"/>
    <s v="—"/>
    <n v="53.488888888888887"/>
  </r>
  <r>
    <x v="13"/>
    <s v="Ranger College "/>
    <n v="227687"/>
    <x v="8"/>
    <s v="sem"/>
    <s v="sem"/>
    <n v="7328"/>
    <n v="7283"/>
    <n v="1399"/>
    <n v="1170"/>
    <n v="585"/>
    <n v="396"/>
    <n v="9389"/>
    <n v="10033"/>
    <n v="18701"/>
    <n v="18701"/>
    <n v="2939"/>
    <n v="623.36666666666667"/>
    <n v="18882"/>
    <n v="18882"/>
    <n v="2816"/>
    <n v="629.4"/>
    <n v="2741"/>
    <n v="215"/>
    <n v="1564"/>
    <n v="2356"/>
    <n v="154"/>
    <n v="1764"/>
    <n v="2941"/>
    <n v="161"/>
    <n v="7400"/>
    <n v="0"/>
    <s v="—"/>
    <n v="8.2222222222222214"/>
    <n v="4496"/>
    <n v="0"/>
    <s v="—"/>
    <n v="4.9955555555555557"/>
  </r>
  <r>
    <x v="13"/>
    <s v="Southwest Collegiate Institute for the Deaf (HCJCD)"/>
    <n v="382911"/>
    <x v="8"/>
    <s v="sem"/>
    <s v="sem"/>
    <n v="995"/>
    <n v="1011"/>
    <m/>
    <n v="0"/>
    <m/>
    <n v="0"/>
    <n v="1186"/>
    <n v="1072"/>
    <n v="2181"/>
    <n v="2181"/>
    <n v="0"/>
    <n v="72.7"/>
    <n v="2083"/>
    <n v="2083"/>
    <n v="0"/>
    <n v="69.433333333333337"/>
    <m/>
    <n v="0"/>
    <m/>
    <n v="0"/>
    <m/>
    <n v="0"/>
    <m/>
    <n v="0"/>
    <n v="0"/>
    <n v="0"/>
    <s v="—"/>
    <n v="0"/>
    <n v="0"/>
    <n v="0"/>
    <s v="—"/>
    <n v="0"/>
  </r>
  <r>
    <x v="13"/>
    <s v="Texas State Technical College-Marshall"/>
    <n v="408394"/>
    <x v="8"/>
    <s v="sem"/>
    <s v="sem"/>
    <n v="5228"/>
    <n v="6166"/>
    <n v="3034"/>
    <n v="4064"/>
    <m/>
    <n v="0"/>
    <n v="6381"/>
    <n v="7644"/>
    <n v="14643"/>
    <n v="14643"/>
    <n v="1410"/>
    <n v="488.1"/>
    <n v="17874"/>
    <n v="17874"/>
    <n v="2520"/>
    <n v="595.79999999999995"/>
    <n v="3716"/>
    <n v="7512"/>
    <n v="7200"/>
    <n v="10156"/>
    <n v="4823"/>
    <n v="5532"/>
    <n v="4646"/>
    <n v="6310"/>
    <n v="20385"/>
    <n v="0"/>
    <s v="—"/>
    <n v="22.65"/>
    <n v="29510"/>
    <n v="0"/>
    <s v="—"/>
    <n v="32.788888888888891"/>
  </r>
  <r>
    <x v="13"/>
    <s v="Texas State Technical College-West Texas"/>
    <n v="229328"/>
    <x v="8"/>
    <s v="sem"/>
    <s v="sem"/>
    <n v="14441"/>
    <n v="14505"/>
    <n v="11701"/>
    <n v="12792"/>
    <m/>
    <n v="0"/>
    <n v="12152"/>
    <n v="15670"/>
    <n v="38294"/>
    <n v="38294"/>
    <n v="2462"/>
    <n v="1276.4666666666667"/>
    <n v="42967"/>
    <n v="42967"/>
    <n v="3975"/>
    <n v="1432.2333333333333"/>
    <n v="92384"/>
    <n v="56447"/>
    <n v="124064"/>
    <n v="112373"/>
    <n v="69034"/>
    <n v="107082"/>
    <n v="55272"/>
    <n v="21241"/>
    <n v="340754"/>
    <n v="0"/>
    <s v="—"/>
    <n v="378.61555555555555"/>
    <n v="297143"/>
    <n v="0"/>
    <s v="—"/>
    <n v="330.1588888888889"/>
  </r>
  <r>
    <x v="13"/>
    <s v="Western Texas College "/>
    <n v="229832"/>
    <x v="8"/>
    <s v="sem"/>
    <s v="sem"/>
    <n v="15113"/>
    <n v="14873"/>
    <n v="7085"/>
    <n v="8903"/>
    <n v="1489"/>
    <n v="2233"/>
    <n v="15020"/>
    <n v="15275"/>
    <n v="38707"/>
    <n v="38707"/>
    <n v="2986"/>
    <n v="1290.2333333333333"/>
    <n v="41284"/>
    <n v="41284"/>
    <n v="3416"/>
    <n v="1376.1333333333334"/>
    <n v="15724"/>
    <n v="17492"/>
    <n v="16409"/>
    <n v="21182"/>
    <n v="4968"/>
    <n v="9357"/>
    <n v="19324"/>
    <n v="92301"/>
    <n v="56425"/>
    <n v="0"/>
    <s v="—"/>
    <n v="62.694444444444443"/>
    <n v="140332"/>
    <n v="0"/>
    <s v="—"/>
    <n v="155.92444444444445"/>
  </r>
  <r>
    <x v="13"/>
    <s v="Alamo Community College District (ACCD)"/>
    <m/>
    <x v="14"/>
    <s v="sem"/>
    <s v="sem"/>
    <n v="416125"/>
    <n v="420371"/>
    <n v="95250"/>
    <n v="113775"/>
    <n v="43039"/>
    <n v="32653"/>
    <n v="428192"/>
    <n v="433344"/>
    <n v="982606"/>
    <n v="982606"/>
    <n v="49040"/>
    <n v="32753.533333333333"/>
    <n v="1000143"/>
    <n v="1000143"/>
    <n v="59184"/>
    <n v="33338.1"/>
    <n v="170650"/>
    <n v="206008"/>
    <n v="136761"/>
    <n v="147099"/>
    <n v="185859"/>
    <n v="193408"/>
    <n v="243210"/>
    <n v="297098"/>
    <n v="736480"/>
    <n v="0"/>
    <s v="—"/>
    <n v="818.31111111111113"/>
    <n v="843613"/>
    <n v="0"/>
    <s v="—"/>
    <n v="937.34777777777776"/>
  </r>
  <r>
    <x v="13"/>
    <s v="Dallas County Community College District (DCCD)"/>
    <m/>
    <x v="14"/>
    <s v="sem"/>
    <s v="sem"/>
    <n v="338589"/>
    <n v="329693"/>
    <n v="111683"/>
    <n v="124144"/>
    <n v="58150"/>
    <n v="61311"/>
    <n v="307381"/>
    <n v="316483"/>
    <n v="815803"/>
    <n v="815803"/>
    <n v="40319"/>
    <n v="27193.433333333334"/>
    <n v="831631"/>
    <n v="831631"/>
    <n v="48160"/>
    <n v="27721.033333333333"/>
    <n v="472384"/>
    <n v="400320"/>
    <n v="420081"/>
    <n v="390592"/>
    <n v="420072"/>
    <n v="388149"/>
    <n v="584550"/>
    <n v="560720"/>
    <n v="1897087"/>
    <n v="0"/>
    <s v="—"/>
    <n v="2107.8744444444446"/>
    <n v="1739781"/>
    <n v="0"/>
    <s v="—"/>
    <n v="1933.09"/>
  </r>
  <r>
    <x v="13"/>
    <s v="Dallas County Community College District (DCCD)"/>
    <m/>
    <x v="15"/>
    <s v="sem"/>
    <s v="sem"/>
    <n v="136405"/>
    <n v="131588"/>
    <n v="35228"/>
    <n v="44686"/>
    <n v="20476"/>
    <n v="21657"/>
    <n v="130705"/>
    <n v="135438"/>
    <n v="322814"/>
    <n v="322814"/>
    <n v="14379"/>
    <n v="10760.466666666667"/>
    <n v="333369"/>
    <n v="333369"/>
    <n v="18261"/>
    <n v="11112.3"/>
    <n v="291521"/>
    <n v="295730"/>
    <n v="301755"/>
    <n v="391747"/>
    <n v="322504"/>
    <n v="427626"/>
    <n v="371443"/>
    <n v="505346"/>
    <n v="1287223"/>
    <n v="0"/>
    <s v="—"/>
    <n v="1430.2477777777779"/>
    <n v="1620449"/>
    <n v="0"/>
    <s v="—"/>
    <n v="1800.4988888888888"/>
  </r>
  <r>
    <x v="13"/>
    <s v="Howard County Community/Junior College District (HCJCD)"/>
    <m/>
    <x v="15"/>
    <s v="sem"/>
    <s v="sem"/>
    <n v="24569"/>
    <n v="26299"/>
    <n v="1076"/>
    <n v="4842"/>
    <n v="5185"/>
    <n v="2238"/>
    <n v="27711"/>
    <n v="28526"/>
    <n v="58541"/>
    <n v="58541"/>
    <n v="2326"/>
    <n v="1951.3666666666666"/>
    <n v="61905"/>
    <n v="61905"/>
    <n v="11052"/>
    <n v="2063.5"/>
    <n v="221114"/>
    <n v="215791"/>
    <n v="240571"/>
    <n v="255640"/>
    <n v="267985"/>
    <n v="244486"/>
    <n v="230966"/>
    <n v="249635"/>
    <n v="960636"/>
    <n v="0"/>
    <s v="—"/>
    <n v="1067.3733333333332"/>
    <n v="965552"/>
    <n v="0"/>
    <s v="—"/>
    <n v="1072.8355555555556"/>
  </r>
  <r>
    <x v="13"/>
    <s v="Alamo Community College District (ACCD)"/>
    <m/>
    <x v="16"/>
    <s v="sem"/>
    <s v="sem"/>
    <n v="0"/>
    <n v="1527"/>
    <n v="0"/>
    <n v="763"/>
    <n v="0"/>
    <n v="689"/>
    <n v="895"/>
    <n v="3836"/>
    <n v="895"/>
    <n v="895"/>
    <n v="0"/>
    <n v="29.833333333333332"/>
    <n v="6815"/>
    <n v="6815"/>
    <n v="13"/>
    <n v="227.16666666666666"/>
    <n v="0"/>
    <n v="0"/>
    <n v="0"/>
    <n v="0"/>
    <n v="0"/>
    <n v="0"/>
    <n v="0"/>
    <n v="0"/>
    <n v="0"/>
    <n v="0"/>
    <s v="—"/>
    <n v="0"/>
    <n v="0"/>
    <n v="0"/>
    <s v="—"/>
    <n v="0"/>
  </r>
  <r>
    <x v="13"/>
    <s v="Howard County Community/Junior College District (HCJCD)"/>
    <m/>
    <x v="16"/>
    <s v="sem"/>
    <s v="sem"/>
    <n v="995"/>
    <n v="1011"/>
    <n v="0"/>
    <n v="0"/>
    <n v="0"/>
    <n v="0"/>
    <n v="1186"/>
    <n v="1072"/>
    <n v="2181"/>
    <n v="2181"/>
    <n v="0"/>
    <n v="72.7"/>
    <n v="2083"/>
    <n v="2083"/>
    <n v="0"/>
    <n v="69.433333333333337"/>
    <n v="0"/>
    <n v="0"/>
    <n v="0"/>
    <n v="0"/>
    <n v="0"/>
    <n v="0"/>
    <n v="0"/>
    <n v="0"/>
    <n v="0"/>
    <n v="0"/>
    <s v="—"/>
    <n v="0"/>
    <n v="0"/>
    <n v="0"/>
    <s v="—"/>
    <n v="0"/>
  </r>
  <r>
    <x v="13"/>
    <s v="Alamo Community College District (ACCD)"/>
    <m/>
    <x v="17"/>
    <s v="sem"/>
    <s v="sem"/>
    <n v="416125"/>
    <n v="421898"/>
    <n v="95250"/>
    <n v="114538"/>
    <n v="43039"/>
    <n v="33342"/>
    <n v="429087"/>
    <n v="437180"/>
    <n v="983501"/>
    <n v="983501"/>
    <n v="49040"/>
    <n v="32783.366666666669"/>
    <n v="1006958"/>
    <n v="1006958"/>
    <n v="59197"/>
    <n v="33565.26666666667"/>
    <n v="170650"/>
    <n v="206008"/>
    <n v="136761"/>
    <n v="147099"/>
    <n v="185859"/>
    <n v="193408"/>
    <n v="243210"/>
    <n v="297098"/>
    <n v="736480"/>
    <n v="0"/>
    <s v="—"/>
    <n v="818.31111111111113"/>
    <n v="843613"/>
    <n v="0"/>
    <s v="—"/>
    <n v="937.34777777777776"/>
  </r>
  <r>
    <x v="13"/>
    <s v="Dallas County Community College District (DCCD)"/>
    <m/>
    <x v="17"/>
    <s v="sem"/>
    <s v="sem"/>
    <n v="474994"/>
    <n v="461281"/>
    <n v="146911"/>
    <n v="168830"/>
    <n v="78626"/>
    <n v="82968"/>
    <n v="438086"/>
    <n v="451921"/>
    <n v="1138617"/>
    <n v="1138617"/>
    <n v="54698"/>
    <n v="37953.9"/>
    <n v="1165000"/>
    <n v="1165000"/>
    <n v="66421"/>
    <n v="38833.333333333336"/>
    <n v="763905"/>
    <n v="696050"/>
    <n v="721836"/>
    <n v="782339"/>
    <n v="742576"/>
    <n v="815775"/>
    <n v="955993"/>
    <n v="1066066"/>
    <n v="3184310"/>
    <n v="0"/>
    <s v="—"/>
    <n v="3538.1222222222223"/>
    <n v="3360230"/>
    <n v="0"/>
    <s v="—"/>
    <n v="3733.588888888889"/>
  </r>
  <r>
    <x v="13"/>
    <s v="Howard County Community/Junior College District (HCJCD)"/>
    <m/>
    <x v="17"/>
    <s v="sem"/>
    <s v="sem"/>
    <n v="25564"/>
    <n v="27310"/>
    <n v="1076"/>
    <n v="4842"/>
    <n v="5185"/>
    <n v="2238"/>
    <n v="28897"/>
    <n v="29598"/>
    <n v="60722"/>
    <n v="60722"/>
    <n v="2326"/>
    <n v="2024.0666666666666"/>
    <n v="63988"/>
    <n v="63988"/>
    <n v="11052"/>
    <n v="2132.9333333333334"/>
    <n v="221114"/>
    <n v="215791"/>
    <n v="240571"/>
    <n v="255640"/>
    <n v="267985"/>
    <n v="244486"/>
    <n v="230966"/>
    <n v="249635"/>
    <n v="960636"/>
    <n v="0"/>
    <s v="—"/>
    <n v="1067.3733333333332"/>
    <n v="965552"/>
    <n v="0"/>
    <s v="—"/>
    <n v="1072.8355555555556"/>
  </r>
  <r>
    <x v="14"/>
    <s v="George Mason University "/>
    <n v="232186"/>
    <x v="0"/>
    <s v="sem"/>
    <s v="sem"/>
    <m/>
    <m/>
    <n v="219914"/>
    <n v="220129"/>
    <n v="43298"/>
    <n v="44618"/>
    <n v="232256"/>
    <n v="236127"/>
    <n v="495468"/>
    <n v="495468"/>
    <n v="0"/>
    <n v="16515.599999999999"/>
    <n v="500874"/>
    <n v="500874"/>
    <n v="554"/>
    <n v="16695.8"/>
    <m/>
    <m/>
    <m/>
    <m/>
    <m/>
    <m/>
    <m/>
    <m/>
    <n v="0"/>
    <n v="0"/>
    <m/>
    <n v="0"/>
    <n v="0"/>
    <n v="0"/>
    <m/>
    <n v="0"/>
  </r>
  <r>
    <x v="14"/>
    <s v="University of Virginia"/>
    <n v="234076"/>
    <x v="0"/>
    <s v="sem"/>
    <s v="sem"/>
    <m/>
    <m/>
    <n v="207940.5"/>
    <n v="213191"/>
    <n v="28418"/>
    <n v="28682"/>
    <n v="216697"/>
    <n v="219549"/>
    <n v="453055.5"/>
    <n v="453055.5"/>
    <n v="0"/>
    <n v="15101.85"/>
    <n v="461422"/>
    <n v="461422"/>
    <m/>
    <n v="15380.733333333334"/>
    <m/>
    <m/>
    <m/>
    <m/>
    <m/>
    <m/>
    <m/>
    <m/>
    <n v="0"/>
    <n v="0"/>
    <m/>
    <n v="0"/>
    <n v="0"/>
    <n v="0"/>
    <m/>
    <n v="0"/>
  </r>
  <r>
    <x v="14"/>
    <s v="Virginia Tech "/>
    <n v="233921"/>
    <x v="0"/>
    <s v="sem"/>
    <s v="sem"/>
    <m/>
    <m/>
    <n v="318571"/>
    <n v="330036"/>
    <n v="34904"/>
    <n v="35927"/>
    <n v="345995"/>
    <n v="358013"/>
    <n v="699470"/>
    <n v="699470"/>
    <n v="0"/>
    <n v="23315.666666666668"/>
    <n v="723976"/>
    <n v="723976"/>
    <m/>
    <n v="24132.533333333333"/>
    <m/>
    <m/>
    <m/>
    <m/>
    <m/>
    <m/>
    <m/>
    <m/>
    <n v="0"/>
    <n v="0"/>
    <m/>
    <n v="0"/>
    <n v="0"/>
    <n v="0"/>
    <m/>
    <n v="0"/>
  </r>
  <r>
    <x v="14"/>
    <s v="College of William &amp; Mary"/>
    <n v="231624"/>
    <x v="1"/>
    <s v="sem"/>
    <s v="sem"/>
    <m/>
    <m/>
    <n v="79730"/>
    <n v="79503.5"/>
    <n v="5222"/>
    <n v="5379"/>
    <n v="83718"/>
    <n v="84133"/>
    <n v="168670"/>
    <n v="168670"/>
    <n v="0"/>
    <n v="5622.333333333333"/>
    <n v="169015.5"/>
    <n v="169015.5"/>
    <m/>
    <n v="5633.85"/>
    <m/>
    <m/>
    <m/>
    <m/>
    <m/>
    <m/>
    <m/>
    <m/>
    <n v="0"/>
    <n v="0"/>
    <m/>
    <n v="0"/>
    <n v="0"/>
    <n v="0"/>
    <m/>
    <n v="0"/>
  </r>
  <r>
    <x v="14"/>
    <s v="Old Dominion University "/>
    <n v="232982"/>
    <x v="1"/>
    <s v="sem"/>
    <s v="sem"/>
    <m/>
    <m/>
    <n v="169133.5"/>
    <n v="179804.5"/>
    <n v="42402"/>
    <n v="44342"/>
    <n v="189802"/>
    <n v="205704"/>
    <n v="401337.5"/>
    <n v="401337.5"/>
    <n v="90"/>
    <n v="13377.916666666666"/>
    <n v="429850.5"/>
    <n v="429850.5"/>
    <n v="136"/>
    <n v="14328.35"/>
    <m/>
    <m/>
    <m/>
    <m/>
    <m/>
    <m/>
    <m/>
    <m/>
    <n v="0"/>
    <n v="0"/>
    <m/>
    <n v="0"/>
    <n v="0"/>
    <n v="0"/>
    <m/>
    <n v="0"/>
  </r>
  <r>
    <x v="14"/>
    <s v="Virginia Commonwealth University  "/>
    <n v="234030"/>
    <x v="1"/>
    <s v="sem"/>
    <s v="sem"/>
    <m/>
    <m/>
    <n v="254614.5"/>
    <n v="268479.5"/>
    <n v="41453"/>
    <n v="42855.5"/>
    <n v="282975"/>
    <n v="295423"/>
    <n v="579042.5"/>
    <n v="579042.5"/>
    <n v="2376"/>
    <n v="19301.416666666668"/>
    <n v="606758"/>
    <n v="606758"/>
    <n v="2785"/>
    <n v="20225.266666666666"/>
    <m/>
    <m/>
    <m/>
    <m/>
    <m/>
    <m/>
    <m/>
    <m/>
    <n v="0"/>
    <n v="0"/>
    <m/>
    <n v="0"/>
    <n v="0"/>
    <n v="0"/>
    <m/>
    <n v="0"/>
  </r>
  <r>
    <x v="14"/>
    <s v="James Madison University  "/>
    <n v="232423"/>
    <x v="2"/>
    <s v="sem"/>
    <s v="sem"/>
    <m/>
    <m/>
    <n v="221432"/>
    <n v="226989"/>
    <n v="24445"/>
    <n v="24679"/>
    <n v="240208"/>
    <n v="248014"/>
    <n v="486085"/>
    <n v="486085"/>
    <n v="1408"/>
    <n v="16202.833333333334"/>
    <n v="499682"/>
    <n v="499682"/>
    <n v="1026"/>
    <n v="16656.066666666666"/>
    <m/>
    <m/>
    <m/>
    <m/>
    <m/>
    <m/>
    <m/>
    <m/>
    <n v="0"/>
    <n v="0"/>
    <m/>
    <n v="0"/>
    <n v="0"/>
    <n v="0"/>
    <m/>
    <n v="0"/>
  </r>
  <r>
    <x v="14"/>
    <s v="Radford University"/>
    <n v="233277"/>
    <x v="2"/>
    <s v="sem"/>
    <s v="sem"/>
    <m/>
    <m/>
    <n v="108695"/>
    <n v="108160"/>
    <n v="13846"/>
    <n v="13292"/>
    <n v="117585"/>
    <n v="119539"/>
    <n v="240126"/>
    <n v="240126"/>
    <n v="8"/>
    <n v="8004.2"/>
    <n v="240991"/>
    <n v="240991"/>
    <n v="0"/>
    <n v="8033.0333333333338"/>
    <m/>
    <m/>
    <m/>
    <m/>
    <m/>
    <m/>
    <m/>
    <m/>
    <n v="0"/>
    <n v="0"/>
    <m/>
    <n v="0"/>
    <n v="0"/>
    <n v="0"/>
    <m/>
    <n v="0"/>
  </r>
  <r>
    <x v="14"/>
    <s v="Christopher Newport University"/>
    <n v="231712"/>
    <x v="3"/>
    <s v="sem"/>
    <s v="sem"/>
    <m/>
    <m/>
    <n v="61747"/>
    <n v="64515"/>
    <n v="3795"/>
    <n v="3467"/>
    <n v="67723"/>
    <n v="69310"/>
    <n v="133265"/>
    <n v="133265"/>
    <n v="29"/>
    <n v="4442.166666666667"/>
    <n v="137292"/>
    <n v="137292"/>
    <n v="94"/>
    <n v="4576.3999999999996"/>
    <m/>
    <m/>
    <m/>
    <m/>
    <m/>
    <m/>
    <m/>
    <m/>
    <n v="0"/>
    <n v="0"/>
    <m/>
    <n v="0"/>
    <n v="0"/>
    <n v="0"/>
    <m/>
    <n v="0"/>
  </r>
  <r>
    <x v="14"/>
    <s v="Norfolk State University "/>
    <n v="232937"/>
    <x v="3"/>
    <s v="sem"/>
    <s v="sem"/>
    <m/>
    <m/>
    <n v="61357"/>
    <n v="63301"/>
    <n v="7212"/>
    <n v="7578"/>
    <n v="68044"/>
    <n v="72561"/>
    <n v="136613"/>
    <n v="136613"/>
    <n v="120"/>
    <n v="4553.7666666666664"/>
    <n v="143440"/>
    <n v="143440"/>
    <n v="39"/>
    <n v="4781.333333333333"/>
    <m/>
    <m/>
    <m/>
    <m/>
    <m/>
    <m/>
    <m/>
    <m/>
    <n v="0"/>
    <n v="0"/>
    <m/>
    <n v="0"/>
    <n v="0"/>
    <n v="0"/>
    <m/>
    <n v="0"/>
  </r>
  <r>
    <x v="14"/>
    <s v="Virginia State University "/>
    <n v="234155"/>
    <x v="3"/>
    <s v="sem"/>
    <s v="sem"/>
    <m/>
    <m/>
    <n v="62329"/>
    <n v="56311"/>
    <n v="5547"/>
    <n v="4202"/>
    <n v="63085"/>
    <n v="64940"/>
    <n v="130961"/>
    <n v="130961"/>
    <n v="0"/>
    <n v="4365.3666666666668"/>
    <n v="125453"/>
    <n v="125453"/>
    <m/>
    <n v="4181.7666666666664"/>
    <m/>
    <m/>
    <m/>
    <m/>
    <m/>
    <m/>
    <m/>
    <m/>
    <n v="0"/>
    <n v="0"/>
    <m/>
    <n v="0"/>
    <n v="0"/>
    <n v="0"/>
    <m/>
    <n v="0"/>
  </r>
  <r>
    <x v="14"/>
    <s v="Longwood University "/>
    <n v="232566"/>
    <x v="4"/>
    <s v="sem"/>
    <s v="sem"/>
    <m/>
    <m/>
    <n v="51551"/>
    <n v="51535"/>
    <n v="7328"/>
    <n v="7528"/>
    <n v="57535"/>
    <n v="57950"/>
    <n v="116414"/>
    <n v="116414"/>
    <n v="35"/>
    <n v="3880.4666666666667"/>
    <n v="117013"/>
    <n v="117013"/>
    <n v="4"/>
    <n v="3900.4333333333334"/>
    <m/>
    <m/>
    <m/>
    <m/>
    <m/>
    <m/>
    <m/>
    <m/>
    <n v="0"/>
    <n v="0"/>
    <m/>
    <n v="0"/>
    <n v="0"/>
    <n v="0"/>
    <m/>
    <n v="0"/>
  </r>
  <r>
    <x v="14"/>
    <s v="University of Mary Washington "/>
    <n v="232681"/>
    <x v="4"/>
    <s v="sem"/>
    <s v="sem"/>
    <m/>
    <m/>
    <n v="56736"/>
    <n v="57069"/>
    <n v="5617"/>
    <n v="6087"/>
    <n v="57846"/>
    <n v="57059"/>
    <n v="120199"/>
    <n v="120199"/>
    <n v="28"/>
    <n v="4006.6333333333332"/>
    <n v="120215"/>
    <n v="120215"/>
    <n v="36"/>
    <n v="4007.1666666666665"/>
    <m/>
    <m/>
    <m/>
    <m/>
    <m/>
    <m/>
    <m/>
    <m/>
    <n v="0"/>
    <n v="0"/>
    <m/>
    <n v="0"/>
    <n v="0"/>
    <n v="0"/>
    <m/>
    <n v="0"/>
  </r>
  <r>
    <x v="14"/>
    <s v="University of Virginia's College at Wise "/>
    <n v="233897"/>
    <x v="5"/>
    <s v="sem"/>
    <s v="sem"/>
    <m/>
    <m/>
    <n v="22706.5"/>
    <n v="21897"/>
    <n v="3569.5"/>
    <n v="3129"/>
    <n v="23996"/>
    <n v="23703"/>
    <n v="50272"/>
    <n v="50272"/>
    <n v="14"/>
    <n v="1675.7333333333333"/>
    <n v="48729"/>
    <n v="48729"/>
    <n v="84"/>
    <n v="1624.3"/>
    <m/>
    <m/>
    <m/>
    <m/>
    <m/>
    <m/>
    <m/>
    <m/>
    <n v="0"/>
    <n v="0"/>
    <m/>
    <n v="0"/>
    <n v="0"/>
    <n v="0"/>
    <m/>
    <n v="0"/>
  </r>
  <r>
    <x v="14"/>
    <s v="J.S. Reynolds Community College"/>
    <n v="232414"/>
    <x v="6"/>
    <s v="sem"/>
    <s v="sem"/>
    <m/>
    <m/>
    <n v="78788"/>
    <n v="84335"/>
    <n v="27539"/>
    <n v="28496"/>
    <n v="93644"/>
    <n v="99537"/>
    <n v="199971"/>
    <n v="199971"/>
    <n v="20991"/>
    <n v="6665.7"/>
    <n v="212368"/>
    <n v="212368"/>
    <n v="20452"/>
    <n v="7078.9333333333334"/>
    <m/>
    <m/>
    <m/>
    <m/>
    <m/>
    <m/>
    <m/>
    <m/>
    <n v="0"/>
    <n v="0"/>
    <m/>
    <n v="0"/>
    <n v="0"/>
    <n v="0"/>
    <m/>
    <n v="0"/>
  </r>
  <r>
    <x v="14"/>
    <s v="Northern Virginia Community College "/>
    <n v="232946"/>
    <x v="6"/>
    <s v="sem"/>
    <s v="sem"/>
    <m/>
    <m/>
    <n v="319024"/>
    <n v="338972"/>
    <n v="123753"/>
    <n v="131229"/>
    <n v="361535"/>
    <n v="370651"/>
    <n v="804312"/>
    <n v="804312"/>
    <n v="18730"/>
    <n v="26810.400000000001"/>
    <n v="840852"/>
    <n v="840852"/>
    <n v="17183"/>
    <n v="28028.400000000001"/>
    <m/>
    <m/>
    <m/>
    <m/>
    <m/>
    <m/>
    <m/>
    <m/>
    <n v="0"/>
    <n v="0"/>
    <m/>
    <n v="0"/>
    <n v="0"/>
    <n v="0"/>
    <m/>
    <n v="0"/>
  </r>
  <r>
    <x v="14"/>
    <s v="Thomas Nelson Community College "/>
    <n v="233754"/>
    <x v="6"/>
    <s v="sem"/>
    <s v="sem"/>
    <m/>
    <m/>
    <n v="68072"/>
    <n v="69027"/>
    <n v="20469"/>
    <n v="21470"/>
    <n v="75716"/>
    <n v="83283"/>
    <n v="164257"/>
    <n v="164257"/>
    <n v="9278"/>
    <n v="5475.2333333333336"/>
    <n v="173780"/>
    <n v="173780"/>
    <n v="12054"/>
    <n v="5792.666666666667"/>
    <m/>
    <m/>
    <m/>
    <m/>
    <m/>
    <m/>
    <m/>
    <m/>
    <n v="0"/>
    <n v="0"/>
    <m/>
    <n v="0"/>
    <n v="0"/>
    <n v="0"/>
    <m/>
    <n v="0"/>
  </r>
  <r>
    <x v="14"/>
    <s v="Tidewater Community College "/>
    <n v="233772"/>
    <x v="6"/>
    <s v="sem"/>
    <s v="sem"/>
    <m/>
    <m/>
    <n v="203771"/>
    <n v="216377"/>
    <n v="71138"/>
    <n v="74013"/>
    <n v="225323"/>
    <n v="235637"/>
    <n v="500232"/>
    <n v="500232"/>
    <n v="11046"/>
    <n v="16674.400000000001"/>
    <n v="526027"/>
    <n v="526027"/>
    <n v="11423"/>
    <n v="17534.233333333334"/>
    <m/>
    <m/>
    <m/>
    <m/>
    <m/>
    <m/>
    <m/>
    <m/>
    <n v="0"/>
    <n v="0"/>
    <m/>
    <n v="0"/>
    <n v="0"/>
    <n v="0"/>
    <m/>
    <n v="0"/>
  </r>
  <r>
    <x v="14"/>
    <s v="Blue Ridge Community College "/>
    <n v="231536"/>
    <x v="7"/>
    <s v="sem"/>
    <s v="sem"/>
    <m/>
    <m/>
    <n v="32544"/>
    <n v="33507"/>
    <n v="8374"/>
    <n v="8363"/>
    <n v="36811"/>
    <n v="38881"/>
    <n v="77729"/>
    <n v="77729"/>
    <n v="2791"/>
    <n v="2590.9666666666667"/>
    <n v="80751"/>
    <n v="80751"/>
    <n v="4423"/>
    <n v="2691.7"/>
    <m/>
    <m/>
    <m/>
    <m/>
    <m/>
    <m/>
    <m/>
    <m/>
    <n v="0"/>
    <n v="0"/>
    <m/>
    <n v="0"/>
    <n v="0"/>
    <n v="0"/>
    <m/>
    <n v="0"/>
  </r>
  <r>
    <x v="14"/>
    <s v="Central Virginia Community College "/>
    <n v="231697"/>
    <x v="7"/>
    <s v="sem"/>
    <s v="sem"/>
    <m/>
    <m/>
    <n v="29023"/>
    <n v="30181"/>
    <n v="7650"/>
    <n v="8632"/>
    <n v="35179"/>
    <n v="37629"/>
    <n v="71852"/>
    <n v="71852"/>
    <n v="9807"/>
    <n v="2395.0666666666666"/>
    <n v="76442"/>
    <n v="76442"/>
    <n v="11400"/>
    <n v="2548.0666666666666"/>
    <m/>
    <m/>
    <m/>
    <m/>
    <m/>
    <m/>
    <m/>
    <m/>
    <n v="0"/>
    <n v="0"/>
    <m/>
    <n v="0"/>
    <n v="0"/>
    <n v="0"/>
    <m/>
    <n v="0"/>
  </r>
  <r>
    <x v="14"/>
    <s v="Danville Community College "/>
    <n v="231882"/>
    <x v="7"/>
    <s v="sem"/>
    <s v="sem"/>
    <m/>
    <m/>
    <n v="32055"/>
    <n v="32490"/>
    <n v="12199"/>
    <n v="11254"/>
    <n v="31500"/>
    <n v="30798"/>
    <n v="75754"/>
    <n v="75754"/>
    <n v="10185"/>
    <n v="2525.1333333333332"/>
    <n v="74542"/>
    <n v="74542"/>
    <n v="12237"/>
    <n v="2484.7333333333331"/>
    <m/>
    <m/>
    <m/>
    <m/>
    <m/>
    <m/>
    <m/>
    <m/>
    <n v="0"/>
    <n v="0"/>
    <m/>
    <n v="0"/>
    <n v="0"/>
    <n v="0"/>
    <m/>
    <n v="0"/>
  </r>
  <r>
    <x v="14"/>
    <s v="Germanna Community College"/>
    <n v="232195"/>
    <x v="7"/>
    <s v="sem"/>
    <s v="sem"/>
    <m/>
    <m/>
    <n v="38518"/>
    <n v="43364"/>
    <n v="9729"/>
    <n v="10506"/>
    <n v="47182"/>
    <n v="52417"/>
    <n v="95429"/>
    <n v="95429"/>
    <n v="7924"/>
    <n v="3180.9666666666667"/>
    <n v="106287"/>
    <n v="106287"/>
    <n v="9410"/>
    <n v="3542.9"/>
    <m/>
    <m/>
    <m/>
    <m/>
    <m/>
    <m/>
    <m/>
    <m/>
    <n v="0"/>
    <n v="0"/>
    <m/>
    <n v="0"/>
    <n v="0"/>
    <n v="0"/>
    <m/>
    <n v="0"/>
  </r>
  <r>
    <x v="14"/>
    <s v="John Tyler Community College"/>
    <n v="232450"/>
    <x v="7"/>
    <s v="sem"/>
    <s v="sem"/>
    <m/>
    <m/>
    <n v="51496.199999999903"/>
    <n v="56741"/>
    <n v="15849"/>
    <n v="17823"/>
    <n v="59514"/>
    <n v="65828"/>
    <n v="126859.1999999999"/>
    <n v="126859.1999999999"/>
    <n v="13585"/>
    <n v="4228.6399999999967"/>
    <n v="140392"/>
    <n v="140392"/>
    <n v="17805"/>
    <n v="4679.7333333333336"/>
    <m/>
    <m/>
    <m/>
    <m/>
    <m/>
    <m/>
    <m/>
    <m/>
    <n v="0"/>
    <n v="0"/>
    <m/>
    <n v="0"/>
    <n v="0"/>
    <n v="0"/>
    <m/>
    <n v="0"/>
  </r>
  <r>
    <x v="14"/>
    <s v="Lord Fairfax Community College  "/>
    <n v="232575"/>
    <x v="7"/>
    <s v="sem"/>
    <s v="sem"/>
    <m/>
    <m/>
    <n v="41277"/>
    <n v="38657"/>
    <n v="9602"/>
    <n v="9985"/>
    <n v="43636"/>
    <n v="47958"/>
    <n v="94515"/>
    <n v="94515"/>
    <n v="17522"/>
    <n v="3150.5"/>
    <n v="96600"/>
    <n v="96600"/>
    <n v="15936"/>
    <n v="3220"/>
    <m/>
    <m/>
    <m/>
    <m/>
    <m/>
    <m/>
    <m/>
    <m/>
    <n v="0"/>
    <n v="0"/>
    <m/>
    <n v="0"/>
    <n v="0"/>
    <n v="0"/>
    <m/>
    <n v="0"/>
  </r>
  <r>
    <x v="14"/>
    <s v="New River Community College "/>
    <n v="232867"/>
    <x v="7"/>
    <s v="sem"/>
    <s v="sem"/>
    <m/>
    <m/>
    <n v="35903"/>
    <n v="37625"/>
    <n v="8372"/>
    <n v="8881"/>
    <n v="39035"/>
    <n v="40280"/>
    <n v="83310"/>
    <n v="83310"/>
    <n v="10095"/>
    <n v="2777"/>
    <n v="86786"/>
    <n v="86786"/>
    <n v="10951"/>
    <n v="2892.8666666666668"/>
    <m/>
    <m/>
    <m/>
    <m/>
    <m/>
    <m/>
    <m/>
    <m/>
    <n v="0"/>
    <n v="0"/>
    <m/>
    <n v="0"/>
    <n v="0"/>
    <n v="0"/>
    <m/>
    <n v="0"/>
  </r>
  <r>
    <x v="14"/>
    <s v="Piedmont Virginia Community College "/>
    <n v="233116"/>
    <x v="7"/>
    <s v="sem"/>
    <s v="sem"/>
    <m/>
    <m/>
    <n v="31661"/>
    <n v="32017"/>
    <n v="7330"/>
    <n v="7398"/>
    <n v="34275"/>
    <n v="36683"/>
    <n v="73266"/>
    <n v="73266"/>
    <n v="9210"/>
    <n v="2442.1999999999998"/>
    <n v="76098"/>
    <n v="76098"/>
    <n v="11024"/>
    <n v="2536.6"/>
    <m/>
    <m/>
    <m/>
    <m/>
    <m/>
    <m/>
    <m/>
    <m/>
    <n v="0"/>
    <n v="0"/>
    <m/>
    <n v="0"/>
    <n v="0"/>
    <n v="0"/>
    <m/>
    <n v="0"/>
  </r>
  <r>
    <x v="14"/>
    <s v="Southside Virginia Community College  "/>
    <n v="233639"/>
    <x v="7"/>
    <s v="sem"/>
    <s v="sem"/>
    <m/>
    <m/>
    <n v="40538"/>
    <n v="41097"/>
    <n v="10846"/>
    <n v="10380"/>
    <n v="44170"/>
    <n v="46203"/>
    <n v="95554"/>
    <n v="95554"/>
    <n v="27992"/>
    <n v="3185.1333333333332"/>
    <n v="97680"/>
    <n v="97680"/>
    <n v="28253"/>
    <n v="3256"/>
    <m/>
    <m/>
    <m/>
    <m/>
    <m/>
    <m/>
    <m/>
    <m/>
    <n v="0"/>
    <n v="0"/>
    <m/>
    <n v="0"/>
    <n v="0"/>
    <n v="0"/>
    <m/>
    <n v="0"/>
  </r>
  <r>
    <x v="14"/>
    <s v="Southwest Virginia Community College "/>
    <n v="233648"/>
    <x v="7"/>
    <s v="sem"/>
    <s v="sem"/>
    <m/>
    <m/>
    <n v="29674"/>
    <n v="28289"/>
    <n v="11078"/>
    <n v="10823"/>
    <n v="30600"/>
    <n v="31744"/>
    <n v="71352"/>
    <n v="71352"/>
    <n v="6700"/>
    <n v="2378.4"/>
    <n v="70856"/>
    <n v="70856"/>
    <n v="7828"/>
    <n v="2361.8666666666668"/>
    <m/>
    <m/>
    <m/>
    <m/>
    <m/>
    <m/>
    <m/>
    <m/>
    <n v="0"/>
    <n v="0"/>
    <m/>
    <n v="0"/>
    <n v="0"/>
    <n v="0"/>
    <m/>
    <n v="0"/>
  </r>
  <r>
    <x v="14"/>
    <s v="Virginia Western Community College "/>
    <n v="233949"/>
    <x v="7"/>
    <s v="sem"/>
    <s v="sem"/>
    <m/>
    <m/>
    <n v="52447"/>
    <n v="55152"/>
    <n v="15392"/>
    <n v="14940"/>
    <n v="59002"/>
    <n v="62028"/>
    <n v="126841"/>
    <n v="126841"/>
    <n v="18281"/>
    <n v="4228.0333333333338"/>
    <n v="132120"/>
    <n v="132120"/>
    <n v="18001"/>
    <n v="4404"/>
    <m/>
    <m/>
    <m/>
    <m/>
    <m/>
    <m/>
    <m/>
    <m/>
    <n v="0"/>
    <n v="0"/>
    <m/>
    <n v="0"/>
    <n v="0"/>
    <n v="0"/>
    <m/>
    <n v="0"/>
  </r>
  <r>
    <x v="14"/>
    <s v="D.S. Lancaster Community College "/>
    <n v="231873"/>
    <x v="8"/>
    <s v="sem"/>
    <s v="sem"/>
    <m/>
    <m/>
    <n v="9823"/>
    <n v="9627"/>
    <n v="1951"/>
    <n v="2559"/>
    <n v="10843"/>
    <n v="11023"/>
    <n v="22617"/>
    <n v="22617"/>
    <n v="3843"/>
    <n v="753.9"/>
    <n v="23209"/>
    <n v="23209"/>
    <n v="3823"/>
    <n v="773.63333333333333"/>
    <m/>
    <m/>
    <m/>
    <m/>
    <m/>
    <m/>
    <m/>
    <m/>
    <n v="0"/>
    <n v="0"/>
    <m/>
    <n v="0"/>
    <n v="0"/>
    <n v="0"/>
    <m/>
    <n v="0"/>
  </r>
  <r>
    <x v="14"/>
    <s v="Eastern Shore Community College  "/>
    <n v="232052"/>
    <x v="8"/>
    <s v="sem"/>
    <s v="sem"/>
    <m/>
    <m/>
    <n v="6527"/>
    <n v="7274"/>
    <n v="818"/>
    <n v="1211"/>
    <n v="7779"/>
    <n v="7814"/>
    <n v="15124"/>
    <n v="15124"/>
    <n v="2465"/>
    <n v="504.13333333333333"/>
    <n v="16299"/>
    <n v="16299"/>
    <n v="2805"/>
    <n v="543.29999999999995"/>
    <m/>
    <m/>
    <m/>
    <m/>
    <m/>
    <m/>
    <m/>
    <m/>
    <n v="0"/>
    <n v="0"/>
    <m/>
    <n v="0"/>
    <n v="0"/>
    <n v="0"/>
    <m/>
    <n v="0"/>
  </r>
  <r>
    <x v="14"/>
    <s v="Mountain Empire Community College  "/>
    <n v="232788"/>
    <x v="8"/>
    <s v="sem"/>
    <s v="sem"/>
    <m/>
    <m/>
    <n v="22021"/>
    <n v="23143"/>
    <n v="8826"/>
    <n v="7842"/>
    <n v="26554"/>
    <n v="26837"/>
    <n v="57401"/>
    <n v="57401"/>
    <n v="8417"/>
    <n v="1913.3666666666666"/>
    <n v="57822"/>
    <n v="57822"/>
    <n v="8822"/>
    <n v="1927.4"/>
    <m/>
    <m/>
    <m/>
    <m/>
    <m/>
    <m/>
    <m/>
    <m/>
    <n v="0"/>
    <n v="0"/>
    <m/>
    <n v="0"/>
    <n v="0"/>
    <n v="0"/>
    <m/>
    <n v="0"/>
  </r>
  <r>
    <x v="14"/>
    <s v="Patrick Henry Community College "/>
    <n v="233019"/>
    <x v="8"/>
    <s v="sem"/>
    <s v="sem"/>
    <m/>
    <m/>
    <n v="22858"/>
    <n v="24133"/>
    <n v="6685"/>
    <n v="6242"/>
    <n v="24934"/>
    <n v="28933"/>
    <n v="54477"/>
    <n v="54477"/>
    <n v="9481"/>
    <n v="1815.9"/>
    <n v="59308"/>
    <n v="59308"/>
    <n v="11337"/>
    <n v="1976.9333333333334"/>
    <m/>
    <m/>
    <m/>
    <m/>
    <m/>
    <m/>
    <m/>
    <m/>
    <n v="0"/>
    <n v="0"/>
    <m/>
    <n v="0"/>
    <n v="0"/>
    <n v="0"/>
    <m/>
    <n v="0"/>
  </r>
  <r>
    <x v="14"/>
    <s v="Paul D. Camp Community College  "/>
    <n v="233037"/>
    <x v="8"/>
    <s v="sem"/>
    <s v="sem"/>
    <m/>
    <m/>
    <n v="10475"/>
    <n v="11134"/>
    <n v="3176"/>
    <n v="3511"/>
    <n v="11413"/>
    <n v="11795"/>
    <n v="25064"/>
    <n v="25064"/>
    <n v="4279"/>
    <n v="835.4666666666667"/>
    <n v="26440"/>
    <n v="26440"/>
    <n v="4379"/>
    <n v="881.33333333333337"/>
    <m/>
    <m/>
    <m/>
    <m/>
    <m/>
    <m/>
    <m/>
    <m/>
    <n v="0"/>
    <n v="0"/>
    <m/>
    <n v="0"/>
    <n v="0"/>
    <n v="0"/>
    <m/>
    <n v="0"/>
  </r>
  <r>
    <x v="14"/>
    <s v="Rappahannock Community College  "/>
    <n v="233310"/>
    <x v="8"/>
    <s v="sem"/>
    <s v="sem"/>
    <m/>
    <m/>
    <n v="20055"/>
    <n v="21383"/>
    <n v="3526"/>
    <n v="4107"/>
    <n v="22452"/>
    <n v="23920"/>
    <n v="46033"/>
    <n v="46033"/>
    <n v="15598"/>
    <n v="1534.4333333333334"/>
    <n v="49410"/>
    <n v="49410"/>
    <n v="16894"/>
    <n v="1647"/>
    <m/>
    <m/>
    <m/>
    <m/>
    <m/>
    <m/>
    <m/>
    <m/>
    <n v="0"/>
    <n v="0"/>
    <m/>
    <n v="0"/>
    <n v="0"/>
    <n v="0"/>
    <m/>
    <n v="0"/>
  </r>
  <r>
    <x v="14"/>
    <s v="Richard Bland College "/>
    <n v="233338"/>
    <x v="8"/>
    <s v="sem"/>
    <s v="sem"/>
    <m/>
    <m/>
    <n v="11673"/>
    <n v="11280"/>
    <n v="2416"/>
    <n v="2538"/>
    <n v="13764"/>
    <n v="16855"/>
    <n v="27853"/>
    <n v="27853"/>
    <n v="1973"/>
    <n v="928.43333333333328"/>
    <n v="30673"/>
    <n v="30673"/>
    <n v="2418"/>
    <n v="1022.4333333333333"/>
    <m/>
    <m/>
    <m/>
    <m/>
    <m/>
    <m/>
    <m/>
    <m/>
    <n v="0"/>
    <n v="0"/>
    <m/>
    <n v="0"/>
    <n v="0"/>
    <n v="0"/>
    <m/>
    <n v="0"/>
  </r>
  <r>
    <x v="14"/>
    <s v="Virginia Highlands Community College "/>
    <n v="233903"/>
    <x v="8"/>
    <s v="sem"/>
    <s v="sem"/>
    <m/>
    <m/>
    <n v="19254"/>
    <n v="18786"/>
    <n v="5358"/>
    <n v="5831"/>
    <n v="22529"/>
    <n v="22702"/>
    <n v="47141"/>
    <n v="47141"/>
    <n v="5386"/>
    <n v="1571.3666666666666"/>
    <n v="47319"/>
    <n v="47319"/>
    <n v="6237"/>
    <n v="1577.3"/>
    <m/>
    <m/>
    <m/>
    <m/>
    <m/>
    <m/>
    <m/>
    <m/>
    <n v="0"/>
    <n v="0"/>
    <m/>
    <n v="0"/>
    <n v="0"/>
    <n v="0"/>
    <m/>
    <n v="0"/>
  </r>
  <r>
    <x v="14"/>
    <s v="Wytheville Community College "/>
    <n v="234377"/>
    <x v="8"/>
    <s v="sem"/>
    <s v="sem"/>
    <m/>
    <m/>
    <n v="21698"/>
    <n v="23199"/>
    <n v="6513"/>
    <n v="6948"/>
    <n v="23653"/>
    <n v="27404"/>
    <n v="51864"/>
    <n v="51864"/>
    <n v="9259"/>
    <n v="1728.8"/>
    <n v="57551"/>
    <n v="57551"/>
    <n v="11250"/>
    <n v="1918.3666666666666"/>
    <m/>
    <m/>
    <m/>
    <m/>
    <m/>
    <m/>
    <m/>
    <m/>
    <n v="0"/>
    <n v="0"/>
    <m/>
    <n v="0"/>
    <n v="0"/>
    <n v="0"/>
    <m/>
    <n v="0"/>
  </r>
  <r>
    <x v="14"/>
    <s v="Virginia Military Institute"/>
    <n v="234085"/>
    <x v="11"/>
    <s v="sem"/>
    <s v="sem"/>
    <m/>
    <m/>
    <m/>
    <n v="21335"/>
    <m/>
    <n v="3239"/>
    <m/>
    <n v="23440"/>
    <n v="0"/>
    <n v="0"/>
    <n v="0"/>
    <n v="0"/>
    <n v="48014"/>
    <n v="48014"/>
    <m/>
    <n v="1600.4666666666667"/>
    <m/>
    <m/>
    <m/>
    <m/>
    <m/>
    <m/>
    <m/>
    <m/>
    <n v="0"/>
    <n v="0"/>
    <m/>
    <n v="0"/>
    <n v="0"/>
    <n v="0"/>
    <m/>
    <n v="0"/>
  </r>
  <r>
    <x v="14"/>
    <s v="Richard Bland College "/>
    <n v="233338"/>
    <x v="16"/>
    <s v="sem"/>
    <s v="sem"/>
    <m/>
    <m/>
    <n v="11673"/>
    <n v="11280"/>
    <n v="2416"/>
    <n v="2538"/>
    <n v="13764"/>
    <n v="16855"/>
    <n v="27853"/>
    <n v="27853"/>
    <n v="1973"/>
    <n v="928.43333333333328"/>
    <n v="30673"/>
    <n v="30673"/>
    <n v="2418"/>
    <n v="1022.4333333333333"/>
    <m/>
    <m/>
    <m/>
    <m/>
    <m/>
    <m/>
    <m/>
    <m/>
    <n v="0"/>
    <n v="0"/>
    <m/>
    <n v="0"/>
    <n v="0"/>
    <n v="0"/>
    <m/>
    <n v="0"/>
  </r>
  <r>
    <x v="14"/>
    <s v="All Community Colleges except R. Bland"/>
    <m/>
    <x v="17"/>
    <s v="sem"/>
    <s v="sem"/>
    <m/>
    <m/>
    <n v="1138714.2"/>
    <n v="1192175"/>
    <n v="368634"/>
    <n v="383948"/>
    <n v="1273635"/>
    <n v="1340448"/>
    <n v="2780983.2"/>
    <n v="2780983.2"/>
    <n v="231874"/>
    <n v="92699.44"/>
    <n v="2916571"/>
    <n v="2916571"/>
    <n v="253475"/>
    <n v="97219.03333333334"/>
    <m/>
    <m/>
    <m/>
    <m/>
    <m/>
    <m/>
    <m/>
    <m/>
    <n v="0"/>
    <n v="0"/>
    <m/>
    <n v="0"/>
    <n v="0"/>
    <n v="0"/>
    <m/>
    <n v="0"/>
  </r>
  <r>
    <x v="15"/>
    <s v="West Virginia University"/>
    <n v="238032"/>
    <x v="0"/>
    <s v="sem"/>
    <s v="sem"/>
    <m/>
    <m/>
    <n v="274719"/>
    <n v="278416"/>
    <n v="35165"/>
    <n v="37075"/>
    <n v="304740"/>
    <n v="313368"/>
    <n v="614624"/>
    <n v="614624"/>
    <n v="2612"/>
    <n v="20487.466666666667"/>
    <n v="628859"/>
    <n v="628859"/>
    <n v="2593"/>
    <n v="20961.966666666667"/>
    <m/>
    <m/>
    <m/>
    <m/>
    <m/>
    <m/>
    <m/>
    <m/>
    <n v="0"/>
    <n v="0"/>
    <m/>
    <n v="0"/>
    <n v="0"/>
    <n v="0"/>
    <m/>
    <n v="0"/>
  </r>
  <r>
    <x v="15"/>
    <s v="Marshall University "/>
    <n v="237525"/>
    <x v="2"/>
    <s v="sem"/>
    <s v="sem"/>
    <m/>
    <m/>
    <n v="112819"/>
    <n v="111321"/>
    <n v="17638"/>
    <n v="17215"/>
    <n v="121856"/>
    <n v="119271"/>
    <n v="252313"/>
    <n v="252313"/>
    <n v="4357"/>
    <n v="8410.4333333333325"/>
    <n v="247807"/>
    <n v="247807"/>
    <n v="3836"/>
    <n v="8260.2333333333336"/>
    <m/>
    <m/>
    <m/>
    <m/>
    <m/>
    <m/>
    <m/>
    <m/>
    <n v="0"/>
    <n v="0"/>
    <m/>
    <n v="0"/>
    <n v="0"/>
    <n v="0"/>
    <m/>
    <n v="0"/>
  </r>
  <r>
    <x v="15"/>
    <s v="Bluefield State College "/>
    <n v="237215"/>
    <x v="5"/>
    <s v="sem"/>
    <s v="sem"/>
    <m/>
    <m/>
    <n v="22145"/>
    <n v="22844"/>
    <n v="2591"/>
    <n v="2987"/>
    <n v="23922"/>
    <n v="24932"/>
    <n v="48658"/>
    <n v="48658"/>
    <n v="604"/>
    <n v="1621.9333333333334"/>
    <n v="50763"/>
    <n v="50763"/>
    <n v="464"/>
    <n v="1692.1"/>
    <m/>
    <m/>
    <m/>
    <m/>
    <m/>
    <m/>
    <m/>
    <m/>
    <n v="0"/>
    <n v="0"/>
    <m/>
    <n v="0"/>
    <n v="0"/>
    <n v="0"/>
    <m/>
    <n v="0"/>
  </r>
  <r>
    <x v="15"/>
    <s v="Concord University "/>
    <n v="237330"/>
    <x v="5"/>
    <s v="sem"/>
    <s v="sem"/>
    <m/>
    <m/>
    <n v="35221"/>
    <n v="35189"/>
    <n v="3549"/>
    <n v="3493"/>
    <n v="37691"/>
    <n v="40012"/>
    <n v="76461"/>
    <n v="76461"/>
    <n v="1832"/>
    <n v="2548.6999999999998"/>
    <n v="78694"/>
    <n v="78694"/>
    <n v="1246"/>
    <n v="2623.1333333333332"/>
    <m/>
    <m/>
    <m/>
    <m/>
    <m/>
    <m/>
    <m/>
    <m/>
    <n v="0"/>
    <n v="0"/>
    <m/>
    <n v="0"/>
    <n v="0"/>
    <n v="0"/>
    <m/>
    <n v="0"/>
  </r>
  <r>
    <x v="15"/>
    <s v="Fairmont State University"/>
    <n v="237367"/>
    <x v="5"/>
    <s v="sem"/>
    <s v="sem"/>
    <m/>
    <m/>
    <n v="48618"/>
    <n v="51333"/>
    <n v="5452"/>
    <n v="5816"/>
    <n v="55390"/>
    <n v="56121"/>
    <n v="109460"/>
    <n v="109460"/>
    <n v="0"/>
    <n v="3648.6666666666665"/>
    <n v="113270"/>
    <n v="113270"/>
    <n v="0"/>
    <n v="3775.6666666666665"/>
    <m/>
    <m/>
    <m/>
    <m/>
    <m/>
    <m/>
    <m/>
    <m/>
    <n v="0"/>
    <n v="0"/>
    <m/>
    <n v="0"/>
    <n v="0"/>
    <n v="0"/>
    <m/>
    <n v="0"/>
  </r>
  <r>
    <x v="15"/>
    <s v="Glenville State College "/>
    <n v="237385"/>
    <x v="5"/>
    <s v="sem"/>
    <s v="sem"/>
    <m/>
    <m/>
    <n v="16499"/>
    <n v="16592"/>
    <n v="1321"/>
    <n v="1763"/>
    <n v="18138.099999999999"/>
    <n v="18979.099999999999"/>
    <n v="35958.1"/>
    <n v="35958.1"/>
    <n v="1206"/>
    <n v="1198.6033333333332"/>
    <n v="37334.1"/>
    <n v="37334.1"/>
    <n v="900"/>
    <n v="1244.47"/>
    <m/>
    <m/>
    <m/>
    <m/>
    <m/>
    <m/>
    <m/>
    <m/>
    <n v="0"/>
    <n v="0"/>
    <m/>
    <n v="0"/>
    <n v="0"/>
    <n v="0"/>
    <m/>
    <n v="0"/>
  </r>
  <r>
    <x v="15"/>
    <s v="Shepherd University "/>
    <n v="237792"/>
    <x v="5"/>
    <s v="sem"/>
    <s v="sem"/>
    <m/>
    <m/>
    <n v="47248.5"/>
    <n v="47511.5"/>
    <n v="4573"/>
    <n v="4534"/>
    <n v="51937.5"/>
    <n v="52917.5"/>
    <n v="103759"/>
    <n v="103759"/>
    <n v="53"/>
    <n v="3458.6333333333332"/>
    <n v="104963"/>
    <n v="104963"/>
    <n v="98"/>
    <n v="3498.7666666666669"/>
    <m/>
    <m/>
    <m/>
    <m/>
    <m/>
    <m/>
    <m/>
    <m/>
    <n v="0"/>
    <n v="0"/>
    <m/>
    <n v="0"/>
    <n v="0"/>
    <n v="0"/>
    <m/>
    <n v="0"/>
  </r>
  <r>
    <x v="15"/>
    <s v="West Liberty University"/>
    <n v="237932"/>
    <x v="5"/>
    <s v="sem"/>
    <s v="sem"/>
    <m/>
    <m/>
    <n v="30200"/>
    <n v="30946"/>
    <n v="1394"/>
    <n v="1511"/>
    <n v="34571"/>
    <n v="36122"/>
    <n v="66165"/>
    <n v="66165"/>
    <n v="881"/>
    <n v="2205.5"/>
    <n v="68579"/>
    <n v="68579"/>
    <n v="1213"/>
    <n v="2285.9666666666667"/>
    <m/>
    <m/>
    <m/>
    <m/>
    <m/>
    <m/>
    <m/>
    <m/>
    <n v="0"/>
    <n v="0"/>
    <m/>
    <n v="0"/>
    <n v="0"/>
    <n v="0"/>
    <m/>
    <n v="0"/>
  </r>
  <r>
    <x v="15"/>
    <s v="West Virginia State University "/>
    <n v="237899"/>
    <x v="5"/>
    <s v="sem"/>
    <s v="sem"/>
    <m/>
    <m/>
    <n v="37490"/>
    <n v="34776"/>
    <n v="3088"/>
    <n v="2617"/>
    <n v="37618"/>
    <n v="35261"/>
    <n v="78196"/>
    <n v="78196"/>
    <n v="3330"/>
    <n v="2606.5333333333333"/>
    <n v="72654"/>
    <n v="72654"/>
    <n v="3358"/>
    <n v="2421.8000000000002"/>
    <m/>
    <m/>
    <m/>
    <m/>
    <m/>
    <m/>
    <m/>
    <m/>
    <n v="0"/>
    <n v="0"/>
    <m/>
    <n v="0"/>
    <n v="0"/>
    <n v="0"/>
    <m/>
    <n v="0"/>
  </r>
  <r>
    <x v="15"/>
    <s v="West Virginia University Institute of Technology"/>
    <n v="237950"/>
    <x v="5"/>
    <s v="sem"/>
    <s v="sem"/>
    <m/>
    <m/>
    <n v="15911"/>
    <n v="16454"/>
    <n v="1378"/>
    <n v="990"/>
    <n v="18187"/>
    <n v="15655"/>
    <n v="35476"/>
    <n v="35476"/>
    <n v="1146"/>
    <n v="1182.5333333333333"/>
    <n v="33099"/>
    <n v="33099"/>
    <n v="773"/>
    <n v="1103.3"/>
    <m/>
    <m/>
    <m/>
    <m/>
    <m/>
    <m/>
    <m/>
    <m/>
    <n v="0"/>
    <n v="0"/>
    <m/>
    <n v="0"/>
    <n v="0"/>
    <n v="0"/>
    <m/>
    <n v="0"/>
  </r>
  <r>
    <x v="15"/>
    <s v="West Virginia University at Parkersburg"/>
    <n v="237686"/>
    <x v="12"/>
    <s v="sem"/>
    <s v="sem"/>
    <m/>
    <m/>
    <n v="38110"/>
    <n v="38158"/>
    <n v="6657"/>
    <n v="6926"/>
    <n v="39602"/>
    <n v="39085"/>
    <n v="84369"/>
    <n v="84369"/>
    <n v="3775"/>
    <n v="2812.3"/>
    <n v="84169"/>
    <n v="84169"/>
    <n v="3453"/>
    <n v="2805.6333333333332"/>
    <m/>
    <m/>
    <m/>
    <m/>
    <m/>
    <m/>
    <m/>
    <m/>
    <n v="0"/>
    <n v="0"/>
    <m/>
    <n v="0"/>
    <n v="0"/>
    <n v="0"/>
    <m/>
    <n v="0"/>
  </r>
  <r>
    <x v="15"/>
    <s v="Pierpont Community &amp; Technical College"/>
    <n v="443492"/>
    <x v="7"/>
    <s v="sem"/>
    <s v="sem"/>
    <m/>
    <m/>
    <n v="24006"/>
    <n v="26131"/>
    <n v="2619"/>
    <n v="2930"/>
    <n v="29108"/>
    <n v="27175"/>
    <n v="55733"/>
    <n v="55733"/>
    <n v="4654"/>
    <n v="1857.7666666666667"/>
    <n v="56236"/>
    <n v="56236"/>
    <n v="4208"/>
    <n v="1874.5333333333333"/>
    <m/>
    <m/>
    <m/>
    <m/>
    <m/>
    <m/>
    <m/>
    <m/>
    <n v="0"/>
    <n v="0"/>
    <m/>
    <n v="0"/>
    <n v="0"/>
    <n v="0"/>
    <m/>
    <n v="0"/>
  </r>
  <r>
    <x v="15"/>
    <s v="Blue Ridge Community &amp; Technical College"/>
    <n v="446774"/>
    <x v="8"/>
    <s v="sem"/>
    <s v="sem"/>
    <m/>
    <m/>
    <n v="12019"/>
    <n v="14473.5"/>
    <n v="1568"/>
    <n v="1831"/>
    <n v="14965.6"/>
    <n v="16962.5"/>
    <n v="28552.6"/>
    <n v="28552.6"/>
    <n v="854.1"/>
    <n v="951.75333333333333"/>
    <n v="33267"/>
    <n v="33267"/>
    <n v="1076"/>
    <n v="1108.9000000000001"/>
    <m/>
    <m/>
    <m/>
    <m/>
    <m/>
    <m/>
    <m/>
    <m/>
    <n v="0"/>
    <n v="0"/>
    <m/>
    <n v="0"/>
    <n v="0"/>
    <n v="0"/>
    <m/>
    <n v="0"/>
  </r>
  <r>
    <x v="15"/>
    <s v="Community &amp; Technical College at WVU Tech"/>
    <n v="445674"/>
    <x v="8"/>
    <s v="sem"/>
    <s v="sem"/>
    <m/>
    <m/>
    <n v="7934"/>
    <n v="8305"/>
    <n v="413"/>
    <n v="487"/>
    <n v="9158"/>
    <n v="8584"/>
    <n v="17505"/>
    <n v="17505"/>
    <n v="303"/>
    <n v="583.5"/>
    <n v="17376"/>
    <n v="17376"/>
    <n v="307"/>
    <n v="579.20000000000005"/>
    <m/>
    <m/>
    <m/>
    <m/>
    <m/>
    <m/>
    <m/>
    <m/>
    <n v="0"/>
    <n v="0"/>
    <m/>
    <n v="0"/>
    <n v="0"/>
    <n v="0"/>
    <m/>
    <n v="0"/>
  </r>
  <r>
    <x v="15"/>
    <s v="Eastern West Virginia Community &amp; Technical College"/>
    <n v="438708"/>
    <x v="8"/>
    <s v="sem"/>
    <s v="sem"/>
    <m/>
    <m/>
    <n v="2786"/>
    <n v="2507"/>
    <n v="346"/>
    <n v="379"/>
    <n v="3082"/>
    <n v="3618"/>
    <n v="6214"/>
    <n v="6214"/>
    <n v="1683"/>
    <n v="207.13333333333333"/>
    <n v="6504"/>
    <n v="6504"/>
    <n v="1671"/>
    <n v="216.8"/>
    <m/>
    <m/>
    <m/>
    <m/>
    <m/>
    <m/>
    <m/>
    <m/>
    <n v="0"/>
    <n v="0"/>
    <m/>
    <n v="0"/>
    <n v="0"/>
    <n v="0"/>
    <m/>
    <n v="0"/>
  </r>
  <r>
    <x v="15"/>
    <s v="Marshall Community &amp; Technical College"/>
    <n v="444954"/>
    <x v="8"/>
    <s v="sem"/>
    <s v="sem"/>
    <m/>
    <m/>
    <n v="20169"/>
    <n v="20350"/>
    <n v="2959"/>
    <n v="3305"/>
    <n v="22815"/>
    <n v="24471"/>
    <n v="45943"/>
    <n v="45943"/>
    <n v="1265"/>
    <n v="1531.4333333333334"/>
    <n v="48126"/>
    <n v="48126"/>
    <n v="1275"/>
    <n v="1604.2"/>
    <m/>
    <m/>
    <m/>
    <m/>
    <m/>
    <m/>
    <m/>
    <m/>
    <n v="0"/>
    <n v="0"/>
    <m/>
    <n v="0"/>
    <n v="0"/>
    <n v="0"/>
    <m/>
    <n v="0"/>
  </r>
  <r>
    <x v="15"/>
    <s v="New River Community &amp; Technical College"/>
    <n v="447582"/>
    <x v="8"/>
    <s v="sem"/>
    <s v="sem"/>
    <m/>
    <m/>
    <n v="17879"/>
    <n v="21361.3"/>
    <n v="3047"/>
    <n v="3134"/>
    <n v="21096"/>
    <n v="22832"/>
    <n v="42022"/>
    <n v="42022"/>
    <n v="2620"/>
    <n v="1400.7333333333333"/>
    <n v="47327.3"/>
    <n v="47327.3"/>
    <n v="2765"/>
    <n v="1577.5766666666668"/>
    <m/>
    <m/>
    <m/>
    <m/>
    <m/>
    <m/>
    <m/>
    <m/>
    <n v="0"/>
    <n v="0"/>
    <m/>
    <n v="0"/>
    <n v="0"/>
    <n v="0"/>
    <m/>
    <n v="0"/>
  </r>
  <r>
    <x v="15"/>
    <s v="Potomac State College of West Virginia University"/>
    <n v="237701"/>
    <x v="8"/>
    <s v="sem"/>
    <s v="sem"/>
    <m/>
    <m/>
    <n v="15529"/>
    <n v="16557"/>
    <n v="926"/>
    <n v="988"/>
    <n v="19068"/>
    <n v="18725"/>
    <n v="35523"/>
    <n v="35523"/>
    <n v="2961"/>
    <n v="1184.0999999999999"/>
    <n v="36270"/>
    <n v="36270"/>
    <n v="2852"/>
    <n v="1209"/>
    <m/>
    <m/>
    <m/>
    <m/>
    <m/>
    <m/>
    <m/>
    <m/>
    <n v="0"/>
    <n v="0"/>
    <m/>
    <n v="0"/>
    <n v="0"/>
    <n v="0"/>
    <m/>
    <n v="0"/>
  </r>
  <r>
    <x v="15"/>
    <s v="Southern West Virginia Community &amp; Technical College "/>
    <n v="237817"/>
    <x v="8"/>
    <s v="sem"/>
    <s v="sem"/>
    <m/>
    <m/>
    <n v="22630"/>
    <n v="22742"/>
    <n v="1332"/>
    <n v="1595"/>
    <n v="24366"/>
    <n v="25227"/>
    <n v="48328"/>
    <n v="48328"/>
    <n v="2504"/>
    <n v="1610.9333333333334"/>
    <n v="49564"/>
    <n v="49564"/>
    <n v="3302"/>
    <n v="1652.1333333333334"/>
    <m/>
    <m/>
    <m/>
    <m/>
    <m/>
    <m/>
    <m/>
    <m/>
    <n v="0"/>
    <n v="0"/>
    <m/>
    <n v="0"/>
    <n v="0"/>
    <n v="0"/>
    <m/>
    <n v="0"/>
  </r>
  <r>
    <x v="15"/>
    <s v="West Virginia Northern Community College"/>
    <n v="238014"/>
    <x v="8"/>
    <s v="sem"/>
    <s v="sem"/>
    <m/>
    <m/>
    <n v="27022.799999999999"/>
    <n v="26169.3"/>
    <n v="7759.3"/>
    <n v="5644"/>
    <n v="28471.3"/>
    <n v="27357.9"/>
    <n v="63253.399999999994"/>
    <n v="63253.399999999994"/>
    <n v="4469.5"/>
    <n v="2108.4466666666663"/>
    <n v="59171.199999999997"/>
    <n v="59171.199999999997"/>
    <n v="4067.3"/>
    <n v="1972.3733333333332"/>
    <m/>
    <m/>
    <m/>
    <m/>
    <m/>
    <m/>
    <m/>
    <m/>
    <n v="0"/>
    <n v="0"/>
    <m/>
    <n v="0"/>
    <n v="0"/>
    <n v="0"/>
    <m/>
    <n v="0"/>
  </r>
  <r>
    <x v="15"/>
    <s v="WV State Community &amp; Technical College"/>
    <n v="445018"/>
    <x v="8"/>
    <s v="sem"/>
    <s v="sem"/>
    <m/>
    <m/>
    <n v="17505"/>
    <n v="16869"/>
    <n v="1787"/>
    <n v="1990"/>
    <n v="17885"/>
    <n v="19293"/>
    <n v="37177"/>
    <n v="37177"/>
    <n v="344"/>
    <n v="1239.2333333333333"/>
    <n v="38152"/>
    <n v="38152"/>
    <n v="262"/>
    <n v="1271.7333333333333"/>
    <m/>
    <m/>
    <m/>
    <m/>
    <m/>
    <m/>
    <m/>
    <m/>
    <n v="0"/>
    <n v="0"/>
    <m/>
    <n v="0"/>
    <n v="0"/>
    <n v="0"/>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1" dataOnRows="1" applyNumberFormats="0" applyBorderFormats="0" applyFontFormats="0" applyPatternFormats="0" applyAlignmentFormats="0" applyWidthHeightFormats="1" dataCaption="Data" updatedVersion="3" minRefreshableVersion="3" asteriskTotals="1" showMultipleLabel="0" showMemberPropertyTips="0" useAutoFormatting="1" colGrandTotals="0" itemPrintTitles="1" createdVersion="3" indent="0" compact="0" compactData="0" gridDropZones="1">
  <location ref="A2:Z208" firstHeaderRow="1" firstDataRow="3" firstDataCol="2"/>
  <pivotFields count="59">
    <pivotField axis="axisRow" compact="0" outline="0" subtotalTop="0" showAll="0" includeNewItemsInFilter="1" sortType="ascending" rankBy="0">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name="Category" axis="axisCol" compact="0" numFmtId="164" outline="0" subtotalTop="0" showAll="0" includeNewItemsInFilter="1">
      <items count="20">
        <item x="0"/>
        <item x="1"/>
        <item x="2"/>
        <item x="3"/>
        <item x="4"/>
        <item x="5"/>
        <item n="7" x="12"/>
        <item n="8" x="6"/>
        <item n="9" x="7"/>
        <item n="10" x="8"/>
        <item n="11" m="1" x="18"/>
        <item n="12" x="9"/>
        <item n="13" x="10"/>
        <item x="13"/>
        <item h="1" x="11"/>
        <item x="14"/>
        <item x="15"/>
        <item x="16"/>
        <item x="1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10">
        <item n="Four-Year" x="6"/>
        <item n="Two-Year" x="7"/>
        <item n="11" x="5"/>
        <item n="Technical" x="8"/>
        <item h="1" x="0"/>
        <item x="1"/>
        <item x="2"/>
        <item x="3"/>
        <item x="4"/>
        <item t="default"/>
      </items>
    </pivotField>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204">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5"/>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55"/>
    <field x="3"/>
  </colFields>
  <colItems count="24">
    <i>
      <x/>
      <x/>
    </i>
    <i r="1">
      <x v="1"/>
    </i>
    <i r="1">
      <x v="2"/>
    </i>
    <i r="1">
      <x v="3"/>
    </i>
    <i r="1">
      <x v="4"/>
    </i>
    <i r="1">
      <x v="5"/>
    </i>
    <i t="default">
      <x/>
    </i>
    <i>
      <x v="1"/>
      <x v="6"/>
    </i>
    <i r="1">
      <x v="7"/>
    </i>
    <i r="1">
      <x v="8"/>
    </i>
    <i r="1">
      <x v="9"/>
    </i>
    <i t="default">
      <x v="1"/>
    </i>
    <i>
      <x v="3"/>
      <x v="11"/>
    </i>
    <i r="1">
      <x v="12"/>
    </i>
    <i r="1">
      <x v="13"/>
    </i>
    <i t="default">
      <x v="3"/>
    </i>
    <i>
      <x v="5"/>
      <x v="15"/>
    </i>
    <i t="default">
      <x v="5"/>
    </i>
    <i>
      <x v="6"/>
      <x v="16"/>
    </i>
    <i t="default">
      <x v="6"/>
    </i>
    <i>
      <x v="7"/>
      <x v="17"/>
    </i>
    <i t="default">
      <x v="7"/>
    </i>
    <i>
      <x v="8"/>
      <x v="18"/>
    </i>
    <i t="default">
      <x v="8"/>
    </i>
  </colItems>
  <dataFields count="12">
    <dataField name="Undergrad Student Credit Hour  FTE - Old" fld="16" baseField="0" baseItem="0" numFmtId="3"/>
    <dataField name="Undergrad Student Credit Hour FTE - New" fld="19" baseField="0" baseItem="0" numFmtId="3"/>
    <dataField name=" % Change Undergrad SCH FTE" fld="48" baseField="0" baseItem="0" numFmtId="166"/>
    <dataField name=" Undergrad Contact Hour FTE - Old" fld="30" baseField="0" baseItem="0" numFmtId="3"/>
    <dataField name=" Undergrad Contact Hour FTE - New" fld="33" baseField="0" baseItem="0" numFmtId="3"/>
    <dataField name=" % Change Undergrad CH FTE" fld="50" baseField="0" baseItem="0" numFmtId="166"/>
    <dataField name="Graduate FTE - Old" fld="43" baseField="0" baseItem="0" numFmtId="3"/>
    <dataField name="Graduate FTE - New" fld="45" baseField="0" baseItem="0" numFmtId="3"/>
    <dataField name=" % Change Graduate  FTE" fld="49" baseField="0" baseItem="0" numFmtId="166"/>
    <dataField name="Grand Total FTE - Old" fld="46" baseField="0" baseItem="0" numFmtId="3"/>
    <dataField name="Grand Total FTE - New" fld="47" baseField="0" baseItem="0" numFmtId="3"/>
    <dataField name=" % Change Grand Total FTE" fld="56" baseField="0" baseItem="0" numFmtId="166"/>
  </dataFields>
  <formats count="210">
    <format dxfId="404">
      <pivotArea type="all" dataOnly="0" outline="0" fieldPosition="0"/>
    </format>
    <format dxfId="403">
      <pivotArea type="all" dataOnly="0" outline="0" fieldPosition="0"/>
    </format>
    <format dxfId="402">
      <pivotArea type="all" dataOnly="0" outline="0" fieldPosition="0"/>
    </format>
    <format dxfId="401">
      <pivotArea type="all" dataOnly="0" outline="0" fieldPosition="0"/>
    </format>
    <format dxfId="400">
      <pivotArea dataOnly="0" outline="0" fieldPosition="0">
        <references count="1">
          <reference field="4294967294" count="1">
            <x v="2"/>
          </reference>
        </references>
      </pivotArea>
    </format>
    <format dxfId="399">
      <pivotArea outline="0" fieldPosition="0">
        <references count="3">
          <reference field="4294967294" count="1" selected="0">
            <x v="2"/>
          </reference>
          <reference field="0" count="1" selected="0">
            <x v="0"/>
          </reference>
          <reference field="3" count="1" selected="0">
            <x v="0"/>
          </reference>
        </references>
      </pivotArea>
    </format>
    <format dxfId="398">
      <pivotArea dataOnly="0" outline="0" fieldPosition="0">
        <references count="1">
          <reference field="4294967294" count="1">
            <x v="5"/>
          </reference>
        </references>
      </pivotArea>
    </format>
    <format dxfId="397">
      <pivotArea dataOnly="0" outline="0" fieldPosition="0">
        <references count="1">
          <reference field="4294967294" count="1">
            <x v="8"/>
          </reference>
        </references>
      </pivotArea>
    </format>
    <format dxfId="396">
      <pivotArea outline="0" fieldPosition="0">
        <references count="2">
          <reference field="0" count="1" selected="0">
            <x v="0"/>
          </reference>
          <reference field="3" count="1" selected="0">
            <x v="0"/>
          </reference>
        </references>
      </pivotArea>
    </format>
    <format dxfId="395">
      <pivotArea outline="0" fieldPosition="0">
        <references count="2">
          <reference field="0" count="1" selected="0">
            <x v="0"/>
          </reference>
          <reference field="3" count="1" selected="0">
            <x v="0"/>
          </reference>
        </references>
      </pivotArea>
    </format>
    <format dxfId="394">
      <pivotArea outline="0" fieldPosition="0">
        <references count="2">
          <reference field="0" count="1" selected="0">
            <x v="0"/>
          </reference>
          <reference field="3" count="1" selected="0">
            <x v="0"/>
          </reference>
        </references>
      </pivotArea>
    </format>
    <format dxfId="393">
      <pivotArea dataOnly="0" outline="0" fieldPosition="0">
        <references count="1">
          <reference field="4294967294" count="1">
            <x v="2"/>
          </reference>
        </references>
      </pivotArea>
    </format>
    <format dxfId="392">
      <pivotArea dataOnly="0" outline="0" fieldPosition="0">
        <references count="1">
          <reference field="4294967294" count="1">
            <x v="5"/>
          </reference>
        </references>
      </pivotArea>
    </format>
    <format dxfId="391">
      <pivotArea dataOnly="0" outline="0" fieldPosition="0">
        <references count="1">
          <reference field="4294967294" count="1">
            <x v="8"/>
          </reference>
        </references>
      </pivotArea>
    </format>
    <format dxfId="390">
      <pivotArea outline="0" fieldPosition="0">
        <references count="2">
          <reference field="0" count="1" selected="0">
            <x v="4"/>
          </reference>
          <reference field="3" count="4" selected="0">
            <x v="2"/>
            <x v="3"/>
            <x v="4"/>
            <x v="5"/>
          </reference>
        </references>
      </pivotArea>
    </format>
    <format dxfId="389">
      <pivotArea outline="0" fieldPosition="0">
        <references count="2">
          <reference field="0" count="1" selected="0">
            <x v="8"/>
          </reference>
          <reference field="3" count="2" selected="0">
            <x v="3"/>
            <x v="4"/>
          </reference>
        </references>
      </pivotArea>
    </format>
    <format dxfId="388">
      <pivotArea outline="0" fieldPosition="0">
        <references count="2">
          <reference field="0" count="1" selected="0">
            <x v="13"/>
          </reference>
          <reference field="3" count="2" selected="0">
            <x v="3"/>
            <x v="4"/>
          </reference>
        </references>
      </pivotArea>
    </format>
    <format dxfId="387">
      <pivotArea dataOnly="0" labelOnly="1" outline="0" fieldPosition="0">
        <references count="1">
          <reference field="0" count="1">
            <x v="0"/>
          </reference>
        </references>
      </pivotArea>
    </format>
    <format dxfId="386">
      <pivotArea dataOnly="0" labelOnly="1" outline="0" fieldPosition="0">
        <references count="1">
          <reference field="0" count="1">
            <x v="1"/>
          </reference>
        </references>
      </pivotArea>
    </format>
    <format dxfId="385">
      <pivotArea dataOnly="0" labelOnly="1" outline="0" fieldPosition="0">
        <references count="1">
          <reference field="0" count="14">
            <x v="2"/>
            <x v="3"/>
            <x v="4"/>
            <x v="5"/>
            <x v="6"/>
            <x v="7"/>
            <x v="8"/>
            <x v="9"/>
            <x v="10"/>
            <x v="11"/>
            <x v="12"/>
            <x v="13"/>
            <x v="14"/>
            <x v="15"/>
          </reference>
        </references>
      </pivotArea>
    </format>
    <format dxfId="384">
      <pivotArea dataOnly="0" outline="0" fieldPosition="0">
        <references count="1">
          <reference field="4294967294" count="3">
            <x v="2"/>
            <x v="5"/>
            <x v="8"/>
          </reference>
        </references>
      </pivotArea>
    </format>
    <format dxfId="383">
      <pivotArea field="0" dataOnly="0" grandRow="1" outline="0" axis="axisRow" fieldPosition="0">
        <references count="1">
          <reference field="4294967294" count="1" selected="0">
            <x v="2"/>
          </reference>
        </references>
      </pivotArea>
    </format>
    <format dxfId="382">
      <pivotArea field="0" dataOnly="0" grandRow="1" outline="0" axis="axisRow" fieldPosition="0">
        <references count="1">
          <reference field="4294967294" count="1" selected="0">
            <x v="2"/>
          </reference>
        </references>
      </pivotArea>
    </format>
    <format dxfId="381">
      <pivotArea field="0" dataOnly="0" grandRow="1" outline="0" axis="axisRow" fieldPosition="0">
        <references count="1">
          <reference field="4294967294" count="1" selected="0">
            <x v="2"/>
          </reference>
        </references>
      </pivotArea>
    </format>
    <format dxfId="380">
      <pivotArea field="0" dataOnly="0" grandRow="1" outline="0" axis="axisRow" fieldPosition="0">
        <references count="1">
          <reference field="4294967294" count="1" selected="0">
            <x v="5"/>
          </reference>
        </references>
      </pivotArea>
    </format>
    <format dxfId="379">
      <pivotArea field="0" dataOnly="0" grandRow="1" outline="0" axis="axisRow" fieldPosition="0">
        <references count="1">
          <reference field="4294967294" count="1" selected="0">
            <x v="8"/>
          </reference>
        </references>
      </pivotArea>
    </format>
    <format dxfId="378">
      <pivotArea field="0" dataOnly="0" grandRow="1" outline="0" axis="axisRow" fieldPosition="0">
        <references count="1">
          <reference field="4294967294" count="1" selected="0">
            <x v="2"/>
          </reference>
        </references>
      </pivotArea>
    </format>
    <format dxfId="377">
      <pivotArea field="0" dataOnly="0" grandRow="1" outline="0" axis="axisRow" fieldPosition="0">
        <references count="1">
          <reference field="4294967294" count="1" selected="0">
            <x v="2"/>
          </reference>
        </references>
      </pivotArea>
    </format>
    <format dxfId="376">
      <pivotArea field="0" dataOnly="0" grandRow="1" outline="0" axis="axisRow" fieldPosition="0">
        <references count="1">
          <reference field="4294967294" count="1" selected="0">
            <x v="2"/>
          </reference>
        </references>
      </pivotArea>
    </format>
    <format dxfId="375">
      <pivotArea field="0" dataOnly="0" grandRow="1" outline="0" axis="axisRow" fieldPosition="0">
        <references count="1">
          <reference field="4294967294" count="1" selected="0">
            <x v="2"/>
          </reference>
        </references>
      </pivotArea>
    </format>
    <format dxfId="374">
      <pivotArea field="0" dataOnly="0" labelOnly="1" grandRow="1" outline="0" axis="axisRow" fieldPosition="0">
        <references count="1">
          <reference field="4294967294" count="1" selected="0">
            <x v="2"/>
          </reference>
        </references>
      </pivotArea>
    </format>
    <format dxfId="373">
      <pivotArea field="0" dataOnly="0" labelOnly="1" grandRow="1" outline="0" axis="axisRow" fieldPosition="0">
        <references count="1">
          <reference field="4294967294" count="1" selected="0">
            <x v="2"/>
          </reference>
        </references>
      </pivotArea>
    </format>
    <format dxfId="372">
      <pivotArea field="0" dataOnly="0" labelOnly="1" grandRow="1" outline="0" axis="axisRow" fieldPosition="0">
        <references count="1">
          <reference field="4294967294" count="1" selected="0">
            <x v="2"/>
          </reference>
        </references>
      </pivotArea>
    </format>
    <format dxfId="371">
      <pivotArea field="0" dataOnly="0" labelOnly="1" grandRow="1" outline="0" axis="axisRow" fieldPosition="0">
        <references count="1">
          <reference field="4294967294" count="1" selected="0">
            <x v="2"/>
          </reference>
        </references>
      </pivotArea>
    </format>
    <format dxfId="370">
      <pivotArea field="0" dataOnly="0" labelOnly="1" grandRow="1" outline="0" axis="axisRow" fieldPosition="0">
        <references count="1">
          <reference field="4294967294" count="1" selected="0">
            <x v="2"/>
          </reference>
        </references>
      </pivotArea>
    </format>
    <format dxfId="369">
      <pivotArea field="0" dataOnly="0" labelOnly="1" grandRow="1" outline="0" axis="axisRow" fieldPosition="0">
        <references count="1">
          <reference field="4294967294" count="1" selected="0">
            <x v="2"/>
          </reference>
        </references>
      </pivotArea>
    </format>
    <format dxfId="368">
      <pivotArea outline="0" fieldPosition="0">
        <references count="2">
          <reference field="4294967294" count="2" selected="0">
            <x v="10"/>
            <x v="11"/>
          </reference>
          <reference field="0" count="1" selected="0">
            <x v="3"/>
          </reference>
        </references>
      </pivotArea>
    </format>
    <format dxfId="367">
      <pivotArea field="0" grandCol="1" outline="0" axis="axisRow" fieldPosition="0">
        <references count="2">
          <reference field="4294967294" count="2" selected="0">
            <x v="10"/>
            <x v="11"/>
          </reference>
          <reference field="0" count="1" selected="0">
            <x v="3"/>
          </reference>
        </references>
      </pivotArea>
    </format>
    <format dxfId="366">
      <pivotArea dataOnly="0" labelOnly="1" outline="0" fieldPosition="0">
        <references count="2">
          <reference field="4294967294" count="2">
            <x v="10"/>
            <x v="11"/>
          </reference>
          <reference field="0" count="1" selected="0">
            <x v="3"/>
          </reference>
        </references>
      </pivotArea>
    </format>
    <format dxfId="365">
      <pivotArea grandCol="1" outline="0" fieldPosition="0"/>
    </format>
    <format dxfId="364">
      <pivotArea type="topRight" dataOnly="0" labelOnly="1" outline="0" offset="I1" fieldPosition="0"/>
    </format>
    <format dxfId="363">
      <pivotArea dataOnly="0" labelOnly="1" grandCol="1" outline="0" fieldPosition="0"/>
    </format>
    <format dxfId="362">
      <pivotArea dataOnly="0" labelOnly="1" outline="0" fieldPosition="0">
        <references count="1">
          <reference field="0" count="1">
            <x v="3"/>
          </reference>
        </references>
      </pivotArea>
    </format>
    <format dxfId="361">
      <pivotArea outline="0" fieldPosition="0">
        <references count="2">
          <reference field="4294967294" count="1" selected="0">
            <x v="0"/>
          </reference>
          <reference field="0" count="1" selected="0">
            <x v="7"/>
          </reference>
        </references>
      </pivotArea>
    </format>
    <format dxfId="360">
      <pivotArea dataOnly="0" labelOnly="1" outline="0" fieldPosition="0">
        <references count="1">
          <reference field="3" count="1">
            <x v="6"/>
          </reference>
        </references>
      </pivotArea>
    </format>
    <format dxfId="359">
      <pivotArea dataOnly="0" labelOnly="1" outline="0" fieldPosition="0">
        <references count="1">
          <reference field="3" count="1">
            <x v="7"/>
          </reference>
        </references>
      </pivotArea>
    </format>
    <format dxfId="358">
      <pivotArea dataOnly="0" labelOnly="1" outline="0" fieldPosition="0">
        <references count="1">
          <reference field="3" count="1">
            <x v="8"/>
          </reference>
        </references>
      </pivotArea>
    </format>
    <format dxfId="357">
      <pivotArea dataOnly="0" labelOnly="1" outline="0" fieldPosition="0">
        <references count="1">
          <reference field="3" count="3">
            <x v="9"/>
            <x v="11"/>
            <x v="12"/>
          </reference>
        </references>
      </pivotArea>
    </format>
    <format dxfId="356">
      <pivotArea dataOnly="0" labelOnly="1" outline="0" fieldPosition="0">
        <references count="1">
          <reference field="3" count="1">
            <x v="10"/>
          </reference>
        </references>
      </pivotArea>
    </format>
    <format dxfId="355">
      <pivotArea type="all" dataOnly="0" outline="0" fieldPosition="0"/>
    </format>
    <format dxfId="354">
      <pivotArea field="0" grandCol="1" outline="0" axis="axisRow" fieldPosition="0">
        <references count="2">
          <reference field="4294967294" count="1" selected="0">
            <x v="10"/>
          </reference>
          <reference field="0" count="1" selected="0">
            <x v="14"/>
          </reference>
        </references>
      </pivotArea>
    </format>
    <format dxfId="353">
      <pivotArea field="0" grandCol="1" outline="0" axis="axisRow" fieldPosition="0">
        <references count="2">
          <reference field="4294967294" count="1" selected="0">
            <x v="0"/>
          </reference>
          <reference field="0" count="1" selected="0">
            <x v="14"/>
          </reference>
        </references>
      </pivotArea>
    </format>
    <format dxfId="352">
      <pivotArea field="0" grandCol="1" outline="0" axis="axisRow" fieldPosition="0">
        <references count="2">
          <reference field="4294967294" count="1" selected="0">
            <x v="3"/>
          </reference>
          <reference field="0" count="1" selected="0">
            <x v="6"/>
          </reference>
        </references>
      </pivotArea>
    </format>
    <format dxfId="351">
      <pivotArea dataOnly="0" labelOnly="1" grandCol="1" outline="0" offset="IV256" fieldPosition="0"/>
    </format>
    <format dxfId="350">
      <pivotArea dataOnly="0" labelOnly="1" grandCol="1" outline="0" offset="IV1" fieldPosition="0"/>
    </format>
    <format dxfId="349">
      <pivotArea type="origin" dataOnly="0" labelOnly="1" outline="0" fieldPosition="0"/>
    </format>
    <format dxfId="348">
      <pivotArea field="0" type="button" dataOnly="0" labelOnly="1" outline="0" axis="axisRow" fieldPosition="0"/>
    </format>
    <format dxfId="347">
      <pivotArea dataOnly="0" labelOnly="1" outline="0" fieldPosition="0">
        <references count="1">
          <reference field="0" count="0"/>
        </references>
      </pivotArea>
    </format>
    <format dxfId="346">
      <pivotArea field="-2" type="button" dataOnly="0" labelOnly="1" outline="0" axis="axisRow" fieldPosition="1"/>
    </format>
    <format dxfId="345">
      <pivotArea field="0" dataOnly="0" labelOnly="1" grandRow="1" outline="0" offset="IV256" axis="axisRow" fieldPosition="0">
        <references count="1">
          <reference field="4294967294" count="1" selected="0">
            <x v="0"/>
          </reference>
        </references>
      </pivotArea>
    </format>
    <format dxfId="344">
      <pivotArea field="0" dataOnly="0" labelOnly="1" grandRow="1" outline="0" offset="IV256" axis="axisRow" fieldPosition="0">
        <references count="1">
          <reference field="4294967294" count="1" selected="0">
            <x v="1"/>
          </reference>
        </references>
      </pivotArea>
    </format>
    <format dxfId="343">
      <pivotArea field="0" dataOnly="0" labelOnly="1" grandRow="1" outline="0" offset="IV256" axis="axisRow" fieldPosition="0">
        <references count="1">
          <reference field="4294967294" count="1" selected="0">
            <x v="2"/>
          </reference>
        </references>
      </pivotArea>
    </format>
    <format dxfId="342">
      <pivotArea field="0" dataOnly="0" labelOnly="1" grandRow="1" outline="0" offset="IV256" axis="axisRow" fieldPosition="0">
        <references count="1">
          <reference field="4294967294" count="1" selected="0">
            <x v="3"/>
          </reference>
        </references>
      </pivotArea>
    </format>
    <format dxfId="341">
      <pivotArea field="0" dataOnly="0" labelOnly="1" grandRow="1" outline="0" offset="IV256" axis="axisRow" fieldPosition="0">
        <references count="1">
          <reference field="4294967294" count="1" selected="0">
            <x v="4"/>
          </reference>
        </references>
      </pivotArea>
    </format>
    <format dxfId="340">
      <pivotArea field="0" dataOnly="0" labelOnly="1" grandRow="1" outline="0" offset="IV256" axis="axisRow" fieldPosition="0">
        <references count="1">
          <reference field="4294967294" count="1" selected="0">
            <x v="5"/>
          </reference>
        </references>
      </pivotArea>
    </format>
    <format dxfId="339">
      <pivotArea field="0" dataOnly="0" labelOnly="1" grandRow="1" outline="0" offset="IV256" axis="axisRow" fieldPosition="0">
        <references count="1">
          <reference field="4294967294" count="1" selected="0">
            <x v="6"/>
          </reference>
        </references>
      </pivotArea>
    </format>
    <format dxfId="338">
      <pivotArea field="0" dataOnly="0" labelOnly="1" grandRow="1" outline="0" offset="IV256" axis="axisRow" fieldPosition="0">
        <references count="1">
          <reference field="4294967294" count="1" selected="0">
            <x v="7"/>
          </reference>
        </references>
      </pivotArea>
    </format>
    <format dxfId="337">
      <pivotArea field="0" dataOnly="0" labelOnly="1" grandRow="1" outline="0" offset="IV256" axis="axisRow" fieldPosition="0">
        <references count="1">
          <reference field="4294967294" count="1" selected="0">
            <x v="8"/>
          </reference>
        </references>
      </pivotArea>
    </format>
    <format dxfId="336">
      <pivotArea field="0" dataOnly="0" labelOnly="1" grandRow="1" outline="0" offset="IV256" axis="axisRow" fieldPosition="0">
        <references count="1">
          <reference field="4294967294" count="1" selected="0">
            <x v="10"/>
          </reference>
        </references>
      </pivotArea>
    </format>
    <format dxfId="335">
      <pivotArea field="0" dataOnly="0" labelOnly="1" grandRow="1" outline="0" offset="IV256" axis="axisRow" fieldPosition="0">
        <references count="1">
          <reference field="4294967294" count="1" selected="0">
            <x v="11"/>
          </reference>
        </references>
      </pivotArea>
    </format>
    <format dxfId="334">
      <pivotArea dataOnly="0" labelOnly="1" outline="0" fieldPosition="0">
        <references count="2">
          <reference field="4294967294" count="0"/>
          <reference field="0" count="1" selected="0">
            <x v="0"/>
          </reference>
        </references>
      </pivotArea>
    </format>
    <format dxfId="333">
      <pivotArea dataOnly="0" labelOnly="1" outline="0" fieldPosition="0">
        <references count="2">
          <reference field="4294967294" count="0"/>
          <reference field="0" count="1" selected="0">
            <x v="1"/>
          </reference>
        </references>
      </pivotArea>
    </format>
    <format dxfId="332">
      <pivotArea dataOnly="0" labelOnly="1" outline="0" fieldPosition="0">
        <references count="2">
          <reference field="4294967294" count="0"/>
          <reference field="0" count="1" selected="0">
            <x v="2"/>
          </reference>
        </references>
      </pivotArea>
    </format>
    <format dxfId="331">
      <pivotArea dataOnly="0" labelOnly="1" outline="0" fieldPosition="0">
        <references count="2">
          <reference field="4294967294" count="0"/>
          <reference field="0" count="1" selected="0">
            <x v="3"/>
          </reference>
        </references>
      </pivotArea>
    </format>
    <format dxfId="330">
      <pivotArea dataOnly="0" labelOnly="1" outline="0" fieldPosition="0">
        <references count="2">
          <reference field="4294967294" count="0"/>
          <reference field="0" count="1" selected="0">
            <x v="4"/>
          </reference>
        </references>
      </pivotArea>
    </format>
    <format dxfId="329">
      <pivotArea dataOnly="0" labelOnly="1" outline="0" fieldPosition="0">
        <references count="2">
          <reference field="4294967294" count="0"/>
          <reference field="0" count="1" selected="0">
            <x v="5"/>
          </reference>
        </references>
      </pivotArea>
    </format>
    <format dxfId="328">
      <pivotArea dataOnly="0" labelOnly="1" outline="0" fieldPosition="0">
        <references count="2">
          <reference field="4294967294" count="0"/>
          <reference field="0" count="1" selected="0">
            <x v="6"/>
          </reference>
        </references>
      </pivotArea>
    </format>
    <format dxfId="327">
      <pivotArea dataOnly="0" labelOnly="1" outline="0" fieldPosition="0">
        <references count="2">
          <reference field="4294967294" count="0"/>
          <reference field="0" count="1" selected="0">
            <x v="7"/>
          </reference>
        </references>
      </pivotArea>
    </format>
    <format dxfId="326">
      <pivotArea dataOnly="0" labelOnly="1" outline="0" fieldPosition="0">
        <references count="2">
          <reference field="4294967294" count="0"/>
          <reference field="0" count="1" selected="0">
            <x v="8"/>
          </reference>
        </references>
      </pivotArea>
    </format>
    <format dxfId="325">
      <pivotArea dataOnly="0" labelOnly="1" outline="0" fieldPosition="0">
        <references count="2">
          <reference field="4294967294" count="0"/>
          <reference field="0" count="1" selected="0">
            <x v="9"/>
          </reference>
        </references>
      </pivotArea>
    </format>
    <format dxfId="324">
      <pivotArea dataOnly="0" labelOnly="1" outline="0" fieldPosition="0">
        <references count="2">
          <reference field="4294967294" count="0"/>
          <reference field="0" count="1" selected="0">
            <x v="10"/>
          </reference>
        </references>
      </pivotArea>
    </format>
    <format dxfId="323">
      <pivotArea dataOnly="0" labelOnly="1" outline="0" fieldPosition="0">
        <references count="2">
          <reference field="4294967294" count="0"/>
          <reference field="0" count="1" selected="0">
            <x v="11"/>
          </reference>
        </references>
      </pivotArea>
    </format>
    <format dxfId="322">
      <pivotArea dataOnly="0" labelOnly="1" outline="0" fieldPosition="0">
        <references count="2">
          <reference field="4294967294" count="0"/>
          <reference field="0" count="1" selected="0">
            <x v="12"/>
          </reference>
        </references>
      </pivotArea>
    </format>
    <format dxfId="321">
      <pivotArea dataOnly="0" labelOnly="1" outline="0" fieldPosition="0">
        <references count="2">
          <reference field="4294967294" count="0"/>
          <reference field="0" count="1" selected="0">
            <x v="13"/>
          </reference>
        </references>
      </pivotArea>
    </format>
    <format dxfId="320">
      <pivotArea dataOnly="0" labelOnly="1" outline="0" fieldPosition="0">
        <references count="2">
          <reference field="4294967294" count="0"/>
          <reference field="0" count="1" selected="0">
            <x v="14"/>
          </reference>
        </references>
      </pivotArea>
    </format>
    <format dxfId="319">
      <pivotArea dataOnly="0" labelOnly="1" outline="0" fieldPosition="0">
        <references count="2">
          <reference field="4294967294" count="0"/>
          <reference field="0" count="1" selected="0">
            <x v="15"/>
          </reference>
        </references>
      </pivotArea>
    </format>
    <format dxfId="318">
      <pivotArea outline="0" fieldPosition="0">
        <references count="2">
          <reference field="4294967294" count="1" selected="0">
            <x v="2"/>
          </reference>
          <reference field="0" count="1" selected="0">
            <x v="0"/>
          </reference>
        </references>
      </pivotArea>
    </format>
    <format dxfId="317">
      <pivotArea outline="0" fieldPosition="0">
        <references count="2">
          <reference field="4294967294" count="1" selected="0">
            <x v="0"/>
          </reference>
          <reference field="0" count="1" selected="0">
            <x v="13"/>
          </reference>
        </references>
      </pivotArea>
    </format>
    <format dxfId="316">
      <pivotArea outline="0" fieldPosition="0">
        <references count="2">
          <reference field="4294967294" count="1" selected="0">
            <x v="0"/>
          </reference>
          <reference field="0" count="1" selected="0">
            <x v="15"/>
          </reference>
        </references>
      </pivotArea>
    </format>
    <format dxfId="315">
      <pivotArea outline="0" fieldPosition="0">
        <references count="2">
          <reference field="4294967294" count="1" selected="0">
            <x v="0"/>
          </reference>
          <reference field="0" count="1" selected="0">
            <x v="13"/>
          </reference>
        </references>
      </pivotArea>
    </format>
    <format dxfId="314">
      <pivotArea outline="0" fieldPosition="0">
        <references count="2">
          <reference field="4294967294" count="1" selected="0">
            <x v="0"/>
          </reference>
          <reference field="0" count="1" selected="0">
            <x v="15"/>
          </reference>
        </references>
      </pivotArea>
    </format>
    <format dxfId="313">
      <pivotArea type="topRight" dataOnly="0" labelOnly="1" outline="0" offset="E1" fieldPosition="0"/>
    </format>
    <format dxfId="312">
      <pivotArea type="all" dataOnly="0" outline="0" fieldPosition="0"/>
    </format>
    <format dxfId="311">
      <pivotArea type="topRight" dataOnly="0" labelOnly="1" outline="0" offset="F1" fieldPosition="0"/>
    </format>
    <format dxfId="310">
      <pivotArea type="topRight" dataOnly="0" labelOnly="1" outline="0" offset="J1" fieldPosition="0"/>
    </format>
    <format dxfId="309">
      <pivotArea type="topRight" dataOnly="0" labelOnly="1" outline="0" offset="K1" fieldPosition="0"/>
    </format>
    <format dxfId="308">
      <pivotArea type="origin" dataOnly="0" labelOnly="1" outline="0" offset="A2:B2" fieldPosition="0"/>
    </format>
    <format dxfId="307">
      <pivotArea dataOnly="0" labelOnly="1" outline="0" offset="IV1" fieldPosition="0">
        <references count="1">
          <reference field="0" count="1">
            <x v="0"/>
          </reference>
        </references>
      </pivotArea>
    </format>
    <format dxfId="306">
      <pivotArea type="topRight" dataOnly="0" labelOnly="1" outline="0" offset="S1:Z1" fieldPosition="0"/>
    </format>
    <format dxfId="305">
      <pivotArea dataOnly="0" labelOnly="1" outline="0" offset="IV1" fieldPosition="0">
        <references count="1">
          <reference field="0" count="1">
            <x v="1"/>
          </reference>
        </references>
      </pivotArea>
    </format>
    <format dxfId="304">
      <pivotArea dataOnly="0" labelOnly="1" outline="0" offset="IV1" fieldPosition="0">
        <references count="1">
          <reference field="0" count="1">
            <x v="2"/>
          </reference>
        </references>
      </pivotArea>
    </format>
    <format dxfId="303">
      <pivotArea dataOnly="0" labelOnly="1" outline="0" offset="IV1" fieldPosition="0">
        <references count="1">
          <reference field="0" count="1">
            <x v="3"/>
          </reference>
        </references>
      </pivotArea>
    </format>
    <format dxfId="302">
      <pivotArea dataOnly="0" labelOnly="1" outline="0" offset="IV1" fieldPosition="0">
        <references count="1">
          <reference field="0" count="1">
            <x v="4"/>
          </reference>
        </references>
      </pivotArea>
    </format>
    <format dxfId="301">
      <pivotArea dataOnly="0" labelOnly="1" outline="0" offset="IV1" fieldPosition="0">
        <references count="1">
          <reference field="0" count="1">
            <x v="5"/>
          </reference>
        </references>
      </pivotArea>
    </format>
    <format dxfId="300">
      <pivotArea dataOnly="0" labelOnly="1" outline="0" offset="IV1" fieldPosition="0">
        <references count="1">
          <reference field="0" count="1">
            <x v="6"/>
          </reference>
        </references>
      </pivotArea>
    </format>
    <format dxfId="299">
      <pivotArea dataOnly="0" labelOnly="1" outline="0" offset="IV1" fieldPosition="0">
        <references count="1">
          <reference field="0" count="1">
            <x v="7"/>
          </reference>
        </references>
      </pivotArea>
    </format>
    <format dxfId="298">
      <pivotArea dataOnly="0" labelOnly="1" outline="0" offset="IV1" fieldPosition="0">
        <references count="1">
          <reference field="0" count="1">
            <x v="8"/>
          </reference>
        </references>
      </pivotArea>
    </format>
    <format dxfId="297">
      <pivotArea dataOnly="0" labelOnly="1" outline="0" offset="IV1" fieldPosition="0">
        <references count="1">
          <reference field="0" count="1">
            <x v="9"/>
          </reference>
        </references>
      </pivotArea>
    </format>
    <format dxfId="296">
      <pivotArea dataOnly="0" labelOnly="1" outline="0" offset="IV1" fieldPosition="0">
        <references count="1">
          <reference field="0" count="1">
            <x v="10"/>
          </reference>
        </references>
      </pivotArea>
    </format>
    <format dxfId="295">
      <pivotArea dataOnly="0" labelOnly="1" outline="0" offset="IV1" fieldPosition="0">
        <references count="1">
          <reference field="0" count="1">
            <x v="11"/>
          </reference>
        </references>
      </pivotArea>
    </format>
    <format dxfId="294">
      <pivotArea dataOnly="0" labelOnly="1" outline="0" offset="IV1" fieldPosition="0">
        <references count="1">
          <reference field="0" count="1">
            <x v="12"/>
          </reference>
        </references>
      </pivotArea>
    </format>
    <format dxfId="293">
      <pivotArea dataOnly="0" labelOnly="1" outline="0" offset="IV1" fieldPosition="0">
        <references count="1">
          <reference field="0" count="1">
            <x v="13"/>
          </reference>
        </references>
      </pivotArea>
    </format>
    <format dxfId="292">
      <pivotArea dataOnly="0" labelOnly="1" outline="0" offset="IV1" fieldPosition="0">
        <references count="1">
          <reference field="0" count="1">
            <x v="14"/>
          </reference>
        </references>
      </pivotArea>
    </format>
    <format dxfId="291">
      <pivotArea dataOnly="0" labelOnly="1" outline="0" offset="IV1" fieldPosition="0">
        <references count="1">
          <reference field="0" count="1">
            <x v="15"/>
          </reference>
        </references>
      </pivotArea>
    </format>
    <format dxfId="290">
      <pivotArea type="topRight" dataOnly="0" labelOnly="1" outline="0" offset="Y1:AA1" fieldPosition="0"/>
    </format>
    <format dxfId="289">
      <pivotArea type="topRight" dataOnly="0" labelOnly="1" outline="0" offset="O1:Y1" fieldPosition="0"/>
    </format>
    <format dxfId="288">
      <pivotArea type="topRight" dataOnly="0" labelOnly="1" outline="0" offset="Z1" fieldPosition="0"/>
    </format>
    <format dxfId="287">
      <pivotArea outline="0" fieldPosition="0">
        <references count="2">
          <reference field="4294967294" count="3" selected="0">
            <x v="6"/>
            <x v="7"/>
            <x v="8"/>
          </reference>
          <reference field="0" count="1" selected="0">
            <x v="5"/>
          </reference>
        </references>
      </pivotArea>
    </format>
    <format dxfId="286">
      <pivotArea type="origin" dataOnly="0" labelOnly="1" outline="0" fieldPosition="0"/>
    </format>
    <format dxfId="285">
      <pivotArea field="0" type="button" dataOnly="0" labelOnly="1" outline="0" axis="axisRow" fieldPosition="0"/>
    </format>
    <format dxfId="284">
      <pivotArea dataOnly="0" labelOnly="1" outline="0" fieldPosition="0">
        <references count="1">
          <reference field="0" count="0"/>
        </references>
      </pivotArea>
    </format>
    <format dxfId="283">
      <pivotArea field="0" dataOnly="0" labelOnly="1" grandRow="1" outline="0" offset="A256" axis="axisRow" fieldPosition="0">
        <references count="1">
          <reference field="4294967294" count="1" selected="0">
            <x v="0"/>
          </reference>
        </references>
      </pivotArea>
    </format>
    <format dxfId="282">
      <pivotArea field="0" dataOnly="0" labelOnly="1" grandRow="1" outline="0" offset="A256" axis="axisRow" fieldPosition="0">
        <references count="1">
          <reference field="4294967294" count="1" selected="0">
            <x v="1"/>
          </reference>
        </references>
      </pivotArea>
    </format>
    <format dxfId="281">
      <pivotArea field="0" dataOnly="0" labelOnly="1" grandRow="1" outline="0" offset="A256" axis="axisRow" fieldPosition="0">
        <references count="1">
          <reference field="4294967294" count="1" selected="0">
            <x v="2"/>
          </reference>
        </references>
      </pivotArea>
    </format>
    <format dxfId="280">
      <pivotArea field="0" dataOnly="0" labelOnly="1" grandRow="1" outline="0" offset="A256" axis="axisRow" fieldPosition="0">
        <references count="1">
          <reference field="4294967294" count="1" selected="0">
            <x v="3"/>
          </reference>
        </references>
      </pivotArea>
    </format>
    <format dxfId="279">
      <pivotArea field="0" dataOnly="0" labelOnly="1" grandRow="1" outline="0" offset="A256" axis="axisRow" fieldPosition="0">
        <references count="1">
          <reference field="4294967294" count="1" selected="0">
            <x v="4"/>
          </reference>
        </references>
      </pivotArea>
    </format>
    <format dxfId="278">
      <pivotArea field="0" dataOnly="0" labelOnly="1" grandRow="1" outline="0" offset="A256" axis="axisRow" fieldPosition="0">
        <references count="1">
          <reference field="4294967294" count="1" selected="0">
            <x v="5"/>
          </reference>
        </references>
      </pivotArea>
    </format>
    <format dxfId="277">
      <pivotArea field="0" dataOnly="0" labelOnly="1" grandRow="1" outline="0" offset="A256" axis="axisRow" fieldPosition="0">
        <references count="1">
          <reference field="4294967294" count="1" selected="0">
            <x v="6"/>
          </reference>
        </references>
      </pivotArea>
    </format>
    <format dxfId="276">
      <pivotArea field="0" dataOnly="0" labelOnly="1" grandRow="1" outline="0" offset="A256" axis="axisRow" fieldPosition="0">
        <references count="1">
          <reference field="4294967294" count="1" selected="0">
            <x v="7"/>
          </reference>
        </references>
      </pivotArea>
    </format>
    <format dxfId="275">
      <pivotArea field="0" dataOnly="0" labelOnly="1" grandRow="1" outline="0" offset="A256" axis="axisRow" fieldPosition="0">
        <references count="1">
          <reference field="4294967294" count="1" selected="0">
            <x v="8"/>
          </reference>
        </references>
      </pivotArea>
    </format>
    <format dxfId="274">
      <pivotArea field="0" dataOnly="0" labelOnly="1" grandRow="1" outline="0" offset="A256" axis="axisRow" fieldPosition="0">
        <references count="1">
          <reference field="4294967294" count="1" selected="0">
            <x v="10"/>
          </reference>
        </references>
      </pivotArea>
    </format>
    <format dxfId="273">
      <pivotArea field="0" dataOnly="0" labelOnly="1" grandRow="1" outline="0" offset="A256" axis="axisRow" fieldPosition="0">
        <references count="1">
          <reference field="4294967294" count="1" selected="0">
            <x v="11"/>
          </reference>
        </references>
      </pivotArea>
    </format>
    <format dxfId="272">
      <pivotArea type="topRight" dataOnly="0" labelOnly="1" outline="0" offset="O1:X1" fieldPosition="0"/>
    </format>
    <format dxfId="271">
      <pivotArea outline="0" fieldPosition="0">
        <references count="2">
          <reference field="4294967294" count="1" selected="0">
            <x v="11"/>
          </reference>
          <reference field="0" count="1" selected="0">
            <x v="0"/>
          </reference>
        </references>
      </pivotArea>
    </format>
    <format dxfId="270">
      <pivotArea dataOnly="0" labelOnly="1" outline="0" offset="IV11:IV256" fieldPosition="0">
        <references count="1">
          <reference field="0" count="1">
            <x v="0"/>
          </reference>
        </references>
      </pivotArea>
    </format>
    <format dxfId="269">
      <pivotArea outline="0" fieldPosition="0">
        <references count="2">
          <reference field="4294967294" count="1" selected="0">
            <x v="11"/>
          </reference>
          <reference field="0" count="1" selected="0">
            <x v="0"/>
          </reference>
        </references>
      </pivotArea>
    </format>
    <format dxfId="268">
      <pivotArea dataOnly="0" labelOnly="1" outline="0" offset="IV256" fieldPosition="0">
        <references count="1">
          <reference field="0" count="1">
            <x v="15"/>
          </reference>
        </references>
      </pivotArea>
    </format>
    <format dxfId="267">
      <pivotArea dataOnly="0" labelOnly="1" outline="0" fieldPosition="0">
        <references count="2">
          <reference field="4294967294" count="1">
            <x v="11"/>
          </reference>
          <reference field="0" count="1" selected="0">
            <x v="15"/>
          </reference>
        </references>
      </pivotArea>
    </format>
    <format dxfId="266">
      <pivotArea dataOnly="0" labelOnly="1" outline="0" offset="IV256" fieldPosition="0">
        <references count="1">
          <reference field="0" count="1">
            <x v="14"/>
          </reference>
        </references>
      </pivotArea>
    </format>
    <format dxfId="265">
      <pivotArea dataOnly="0" labelOnly="1" outline="0" fieldPosition="0">
        <references count="2">
          <reference field="4294967294" count="1">
            <x v="11"/>
          </reference>
          <reference field="0" count="1" selected="0">
            <x v="14"/>
          </reference>
        </references>
      </pivotArea>
    </format>
    <format dxfId="264">
      <pivotArea dataOnly="0" labelOnly="1" outline="0" offset="IV256" fieldPosition="0">
        <references count="1">
          <reference field="0" count="1">
            <x v="13"/>
          </reference>
        </references>
      </pivotArea>
    </format>
    <format dxfId="263">
      <pivotArea dataOnly="0" labelOnly="1" outline="0" fieldPosition="0">
        <references count="2">
          <reference field="4294967294" count="1">
            <x v="11"/>
          </reference>
          <reference field="0" count="1" selected="0">
            <x v="13"/>
          </reference>
        </references>
      </pivotArea>
    </format>
    <format dxfId="262">
      <pivotArea dataOnly="0" labelOnly="1" outline="0" offset="IV256" fieldPosition="0">
        <references count="1">
          <reference field="0" count="1">
            <x v="12"/>
          </reference>
        </references>
      </pivotArea>
    </format>
    <format dxfId="261">
      <pivotArea dataOnly="0" labelOnly="1" outline="0" fieldPosition="0">
        <references count="2">
          <reference field="4294967294" count="1">
            <x v="11"/>
          </reference>
          <reference field="0" count="1" selected="0">
            <x v="12"/>
          </reference>
        </references>
      </pivotArea>
    </format>
    <format dxfId="260">
      <pivotArea dataOnly="0" labelOnly="1" outline="0" offset="IV256" fieldPosition="0">
        <references count="1">
          <reference field="0" count="1">
            <x v="11"/>
          </reference>
        </references>
      </pivotArea>
    </format>
    <format dxfId="259">
      <pivotArea dataOnly="0" labelOnly="1" outline="0" fieldPosition="0">
        <references count="2">
          <reference field="4294967294" count="1">
            <x v="11"/>
          </reference>
          <reference field="0" count="1" selected="0">
            <x v="11"/>
          </reference>
        </references>
      </pivotArea>
    </format>
    <format dxfId="258">
      <pivotArea dataOnly="0" labelOnly="1" outline="0" offset="IV256" fieldPosition="0">
        <references count="1">
          <reference field="0" count="1">
            <x v="10"/>
          </reference>
        </references>
      </pivotArea>
    </format>
    <format dxfId="257">
      <pivotArea dataOnly="0" labelOnly="1" outline="0" fieldPosition="0">
        <references count="2">
          <reference field="4294967294" count="1">
            <x v="11"/>
          </reference>
          <reference field="0" count="1" selected="0">
            <x v="10"/>
          </reference>
        </references>
      </pivotArea>
    </format>
    <format dxfId="256">
      <pivotArea dataOnly="0" labelOnly="1" outline="0" offset="IV256" fieldPosition="0">
        <references count="1">
          <reference field="0" count="1">
            <x v="9"/>
          </reference>
        </references>
      </pivotArea>
    </format>
    <format dxfId="255">
      <pivotArea dataOnly="0" labelOnly="1" outline="0" fieldPosition="0">
        <references count="2">
          <reference field="4294967294" count="1">
            <x v="11"/>
          </reference>
          <reference field="0" count="1" selected="0">
            <x v="9"/>
          </reference>
        </references>
      </pivotArea>
    </format>
    <format dxfId="254">
      <pivotArea dataOnly="0" labelOnly="1" outline="0" offset="IV256" fieldPosition="0">
        <references count="1">
          <reference field="0" count="1">
            <x v="8"/>
          </reference>
        </references>
      </pivotArea>
    </format>
    <format dxfId="253">
      <pivotArea dataOnly="0" labelOnly="1" outline="0" fieldPosition="0">
        <references count="2">
          <reference field="4294967294" count="1">
            <x v="11"/>
          </reference>
          <reference field="0" count="1" selected="0">
            <x v="8"/>
          </reference>
        </references>
      </pivotArea>
    </format>
    <format dxfId="252">
      <pivotArea dataOnly="0" labelOnly="1" outline="0" offset="IV256" fieldPosition="0">
        <references count="1">
          <reference field="0" count="1">
            <x v="7"/>
          </reference>
        </references>
      </pivotArea>
    </format>
    <format dxfId="251">
      <pivotArea dataOnly="0" labelOnly="1" outline="0" fieldPosition="0">
        <references count="2">
          <reference field="4294967294" count="1">
            <x v="11"/>
          </reference>
          <reference field="0" count="1" selected="0">
            <x v="7"/>
          </reference>
        </references>
      </pivotArea>
    </format>
    <format dxfId="250">
      <pivotArea dataOnly="0" labelOnly="1" outline="0" offset="IV256" fieldPosition="0">
        <references count="1">
          <reference field="0" count="1">
            <x v="6"/>
          </reference>
        </references>
      </pivotArea>
    </format>
    <format dxfId="249">
      <pivotArea dataOnly="0" labelOnly="1" outline="0" fieldPosition="0">
        <references count="2">
          <reference field="4294967294" count="1">
            <x v="11"/>
          </reference>
          <reference field="0" count="1" selected="0">
            <x v="6"/>
          </reference>
        </references>
      </pivotArea>
    </format>
    <format dxfId="248">
      <pivotArea dataOnly="0" labelOnly="1" outline="0" offset="IV256" fieldPosition="0">
        <references count="1">
          <reference field="0" count="1">
            <x v="5"/>
          </reference>
        </references>
      </pivotArea>
    </format>
    <format dxfId="247">
      <pivotArea dataOnly="0" labelOnly="1" outline="0" fieldPosition="0">
        <references count="2">
          <reference field="4294967294" count="1">
            <x v="11"/>
          </reference>
          <reference field="0" count="1" selected="0">
            <x v="5"/>
          </reference>
        </references>
      </pivotArea>
    </format>
    <format dxfId="246">
      <pivotArea dataOnly="0" labelOnly="1" outline="0" offset="IV256" fieldPosition="0">
        <references count="1">
          <reference field="0" count="1">
            <x v="4"/>
          </reference>
        </references>
      </pivotArea>
    </format>
    <format dxfId="245">
      <pivotArea dataOnly="0" labelOnly="1" outline="0" fieldPosition="0">
        <references count="2">
          <reference field="4294967294" count="1">
            <x v="11"/>
          </reference>
          <reference field="0" count="1" selected="0">
            <x v="4"/>
          </reference>
        </references>
      </pivotArea>
    </format>
    <format dxfId="244">
      <pivotArea dataOnly="0" labelOnly="1" outline="0" offset="IV256" fieldPosition="0">
        <references count="1">
          <reference field="0" count="1">
            <x v="3"/>
          </reference>
        </references>
      </pivotArea>
    </format>
    <format dxfId="243">
      <pivotArea dataOnly="0" labelOnly="1" outline="0" fieldPosition="0">
        <references count="2">
          <reference field="4294967294" count="1">
            <x v="11"/>
          </reference>
          <reference field="0" count="1" selected="0">
            <x v="3"/>
          </reference>
        </references>
      </pivotArea>
    </format>
    <format dxfId="242">
      <pivotArea dataOnly="0" labelOnly="1" outline="0" offset="IV256" fieldPosition="0">
        <references count="1">
          <reference field="0" count="1">
            <x v="2"/>
          </reference>
        </references>
      </pivotArea>
    </format>
    <format dxfId="241">
      <pivotArea dataOnly="0" labelOnly="1" outline="0" fieldPosition="0">
        <references count="2">
          <reference field="4294967294" count="1">
            <x v="11"/>
          </reference>
          <reference field="0" count="1" selected="0">
            <x v="2"/>
          </reference>
        </references>
      </pivotArea>
    </format>
    <format dxfId="240">
      <pivotArea dataOnly="0" labelOnly="1" outline="0" offset="IV256" fieldPosition="0">
        <references count="1">
          <reference field="0" count="1">
            <x v="1"/>
          </reference>
        </references>
      </pivotArea>
    </format>
    <format dxfId="239">
      <pivotArea dataOnly="0" labelOnly="1" outline="0" fieldPosition="0">
        <references count="2">
          <reference field="4294967294" count="1">
            <x v="11"/>
          </reference>
          <reference field="0" count="1" selected="0">
            <x v="1"/>
          </reference>
        </references>
      </pivotArea>
    </format>
    <format dxfId="238">
      <pivotArea dataOnly="0" labelOnly="1" outline="0" offset="IV256" fieldPosition="0">
        <references count="1">
          <reference field="0" count="1">
            <x v="0"/>
          </reference>
        </references>
      </pivotArea>
    </format>
    <format dxfId="237">
      <pivotArea dataOnly="0" labelOnly="1" outline="0" fieldPosition="0">
        <references count="2">
          <reference field="4294967294" count="1">
            <x v="11"/>
          </reference>
          <reference field="0" count="1" selected="0">
            <x v="0"/>
          </reference>
        </references>
      </pivotArea>
    </format>
    <format dxfId="236">
      <pivotArea outline="0" fieldPosition="0">
        <references count="2">
          <reference field="4294967294" count="1" selected="0">
            <x v="11"/>
          </reference>
          <reference field="0" count="1" selected="0">
            <x v="0"/>
          </reference>
        </references>
      </pivotArea>
    </format>
    <format dxfId="235">
      <pivotArea dataOnly="0" labelOnly="1" outline="0" fieldPosition="0">
        <references count="2">
          <reference field="4294967294" count="1">
            <x v="11"/>
          </reference>
          <reference field="0" count="1" selected="0">
            <x v="0"/>
          </reference>
        </references>
      </pivotArea>
    </format>
    <format dxfId="234">
      <pivotArea dataOnly="0" labelOnly="1" outline="0" fieldPosition="0">
        <references count="2">
          <reference field="4294967294" count="1">
            <x v="11"/>
          </reference>
          <reference field="0" count="1" selected="0">
            <x v="0"/>
          </reference>
        </references>
      </pivotArea>
    </format>
    <format dxfId="233">
      <pivotArea dataOnly="0" labelOnly="1" outline="0" fieldPosition="0">
        <references count="2">
          <reference field="4294967294" count="1">
            <x v="11"/>
          </reference>
          <reference field="0" count="1" selected="0">
            <x v="1"/>
          </reference>
        </references>
      </pivotArea>
    </format>
    <format dxfId="232">
      <pivotArea dataOnly="0" labelOnly="1" outline="0" fieldPosition="0">
        <references count="2">
          <reference field="4294967294" count="1">
            <x v="11"/>
          </reference>
          <reference field="0" count="1" selected="0">
            <x v="2"/>
          </reference>
        </references>
      </pivotArea>
    </format>
    <format dxfId="231">
      <pivotArea dataOnly="0" labelOnly="1" outline="0" fieldPosition="0">
        <references count="2">
          <reference field="4294967294" count="1">
            <x v="11"/>
          </reference>
          <reference field="0" count="1" selected="0">
            <x v="3"/>
          </reference>
        </references>
      </pivotArea>
    </format>
    <format dxfId="230">
      <pivotArea dataOnly="0" labelOnly="1" outline="0" fieldPosition="0">
        <references count="2">
          <reference field="4294967294" count="1">
            <x v="11"/>
          </reference>
          <reference field="0" count="1" selected="0">
            <x v="4"/>
          </reference>
        </references>
      </pivotArea>
    </format>
    <format dxfId="229">
      <pivotArea dataOnly="0" labelOnly="1" outline="0" fieldPosition="0">
        <references count="2">
          <reference field="4294967294" count="1">
            <x v="11"/>
          </reference>
          <reference field="0" count="1" selected="0">
            <x v="5"/>
          </reference>
        </references>
      </pivotArea>
    </format>
    <format dxfId="228">
      <pivotArea dataOnly="0" labelOnly="1" outline="0" fieldPosition="0">
        <references count="2">
          <reference field="4294967294" count="1">
            <x v="11"/>
          </reference>
          <reference field="0" count="1" selected="0">
            <x v="6"/>
          </reference>
        </references>
      </pivotArea>
    </format>
    <format dxfId="227">
      <pivotArea dataOnly="0" labelOnly="1" outline="0" fieldPosition="0">
        <references count="2">
          <reference field="4294967294" count="1">
            <x v="11"/>
          </reference>
          <reference field="0" count="1" selected="0">
            <x v="7"/>
          </reference>
        </references>
      </pivotArea>
    </format>
    <format dxfId="226">
      <pivotArea dataOnly="0" labelOnly="1" outline="0" fieldPosition="0">
        <references count="2">
          <reference field="4294967294" count="1">
            <x v="11"/>
          </reference>
          <reference field="0" count="1" selected="0">
            <x v="8"/>
          </reference>
        </references>
      </pivotArea>
    </format>
    <format dxfId="225">
      <pivotArea dataOnly="0" labelOnly="1" outline="0" fieldPosition="0">
        <references count="2">
          <reference field="4294967294" count="1">
            <x v="11"/>
          </reference>
          <reference field="0" count="1" selected="0">
            <x v="9"/>
          </reference>
        </references>
      </pivotArea>
    </format>
    <format dxfId="224">
      <pivotArea dataOnly="0" labelOnly="1" outline="0" fieldPosition="0">
        <references count="2">
          <reference field="4294967294" count="1">
            <x v="11"/>
          </reference>
          <reference field="0" count="1" selected="0">
            <x v="10"/>
          </reference>
        </references>
      </pivotArea>
    </format>
    <format dxfId="223">
      <pivotArea dataOnly="0" labelOnly="1" outline="0" fieldPosition="0">
        <references count="2">
          <reference field="4294967294" count="1">
            <x v="11"/>
          </reference>
          <reference field="0" count="1" selected="0">
            <x v="11"/>
          </reference>
        </references>
      </pivotArea>
    </format>
    <format dxfId="222">
      <pivotArea dataOnly="0" labelOnly="1" outline="0" fieldPosition="0">
        <references count="2">
          <reference field="4294967294" count="1">
            <x v="11"/>
          </reference>
          <reference field="0" count="1" selected="0">
            <x v="12"/>
          </reference>
        </references>
      </pivotArea>
    </format>
    <format dxfId="221">
      <pivotArea dataOnly="0" labelOnly="1" outline="0" fieldPosition="0">
        <references count="2">
          <reference field="4294967294" count="1">
            <x v="11"/>
          </reference>
          <reference field="0" count="1" selected="0">
            <x v="13"/>
          </reference>
        </references>
      </pivotArea>
    </format>
    <format dxfId="220">
      <pivotArea dataOnly="0" labelOnly="1" outline="0" fieldPosition="0">
        <references count="2">
          <reference field="4294967294" count="1">
            <x v="11"/>
          </reference>
          <reference field="0" count="1" selected="0">
            <x v="14"/>
          </reference>
        </references>
      </pivotArea>
    </format>
    <format dxfId="219">
      <pivotArea dataOnly="0" labelOnly="1" outline="0" fieldPosition="0">
        <references count="2">
          <reference field="4294967294" count="1">
            <x v="11"/>
          </reference>
          <reference field="0" count="1" selected="0">
            <x v="15"/>
          </reference>
        </references>
      </pivotArea>
    </format>
    <format dxfId="218">
      <pivotArea type="topRight" dataOnly="0" labelOnly="1" outline="0" offset="O1:R1" fieldPosition="0"/>
    </format>
    <format dxfId="217">
      <pivotArea dataOnly="0" labelOnly="1" outline="0" offset="IV256" fieldPosition="0">
        <references count="1">
          <reference field="55" count="1" defaultSubtotal="1">
            <x v="0"/>
          </reference>
        </references>
      </pivotArea>
    </format>
    <format dxfId="216">
      <pivotArea dataOnly="0" labelOnly="1" outline="0" offset="IV256" fieldPosition="0">
        <references count="1">
          <reference field="55" count="1" defaultSubtotal="1">
            <x v="1"/>
          </reference>
        </references>
      </pivotArea>
    </format>
    <format dxfId="215">
      <pivotArea dataOnly="0" labelOnly="1" outline="0" offset="IV256" fieldPosition="0">
        <references count="1">
          <reference field="55" count="1" defaultSubtotal="1">
            <x v="3"/>
          </reference>
        </references>
      </pivotArea>
    </format>
    <format dxfId="214">
      <pivotArea dataOnly="0" labelOnly="1" outline="0" offset="IV256" fieldPosition="0">
        <references count="1">
          <reference field="55" count="1" defaultSubtotal="1">
            <x v="5"/>
          </reference>
        </references>
      </pivotArea>
    </format>
    <format dxfId="213">
      <pivotArea dataOnly="0" labelOnly="1" outline="0" offset="IV256" fieldPosition="0">
        <references count="1">
          <reference field="55" count="1" defaultSubtotal="1">
            <x v="6"/>
          </reference>
        </references>
      </pivotArea>
    </format>
    <format dxfId="212">
      <pivotArea dataOnly="0" labelOnly="1" outline="0" offset="IV256" fieldPosition="0">
        <references count="1">
          <reference field="55" count="1" defaultSubtotal="1">
            <x v="7"/>
          </reference>
        </references>
      </pivotArea>
    </format>
    <format dxfId="211">
      <pivotArea dataOnly="0" labelOnly="1" outline="0" offset="IV256" fieldPosition="0">
        <references count="1">
          <reference field="55" count="1" defaultSubtotal="1">
            <x v="8"/>
          </reference>
        </references>
      </pivotArea>
    </format>
    <format dxfId="210">
      <pivotArea dataOnly="0" labelOnly="1" outline="0" fieldPosition="0">
        <references count="2">
          <reference field="3" count="6">
            <x v="0"/>
            <x v="1"/>
            <x v="2"/>
            <x v="3"/>
            <x v="4"/>
            <x v="5"/>
          </reference>
          <reference field="55" count="1" selected="0">
            <x v="0"/>
          </reference>
        </references>
      </pivotArea>
    </format>
    <format dxfId="209">
      <pivotArea dataOnly="0" labelOnly="1" outline="0" fieldPosition="0">
        <references count="2">
          <reference field="3" count="4">
            <x v="6"/>
            <x v="7"/>
            <x v="8"/>
            <x v="9"/>
          </reference>
          <reference field="55" count="1" selected="0">
            <x v="1"/>
          </reference>
        </references>
      </pivotArea>
    </format>
    <format dxfId="208">
      <pivotArea dataOnly="0" labelOnly="1" outline="0" fieldPosition="0">
        <references count="2">
          <reference field="3" count="3">
            <x v="11"/>
            <x v="12"/>
            <x v="13"/>
          </reference>
          <reference field="55" count="1" selected="0">
            <x v="3"/>
          </reference>
        </references>
      </pivotArea>
    </format>
    <format dxfId="207">
      <pivotArea dataOnly="0" labelOnly="1" outline="0" fieldPosition="0">
        <references count="2">
          <reference field="3" count="1">
            <x v="15"/>
          </reference>
          <reference field="55" count="1" selected="0">
            <x v="5"/>
          </reference>
        </references>
      </pivotArea>
    </format>
    <format dxfId="206">
      <pivotArea dataOnly="0" labelOnly="1" outline="0" fieldPosition="0">
        <references count="2">
          <reference field="3" count="1">
            <x v="16"/>
          </reference>
          <reference field="55" count="1" selected="0">
            <x v="6"/>
          </reference>
        </references>
      </pivotArea>
    </format>
    <format dxfId="205">
      <pivotArea dataOnly="0" labelOnly="1" outline="0" fieldPosition="0">
        <references count="2">
          <reference field="3" count="1">
            <x v="17"/>
          </reference>
          <reference field="55" count="1" selected="0">
            <x v="7"/>
          </reference>
        </references>
      </pivotArea>
    </format>
    <format dxfId="204">
      <pivotArea dataOnly="0" labelOnly="1" outline="0" fieldPosition="0">
        <references count="2">
          <reference field="3" count="1">
            <x v="18"/>
          </reference>
          <reference field="55" count="1" selected="0">
            <x v="8"/>
          </reference>
        </references>
      </pivotArea>
    </format>
    <format dxfId="203">
      <pivotArea outline="0" fieldPosition="0">
        <references count="4">
          <reference field="4294967294" count="1" selected="0">
            <x v="0"/>
          </reference>
          <reference field="0" count="1" selected="0">
            <x v="0"/>
          </reference>
          <reference field="3" count="1" selected="0">
            <x v="0"/>
          </reference>
          <reference field="55" count="1" selected="0">
            <x v="0"/>
          </reference>
        </references>
      </pivotArea>
    </format>
    <format dxfId="202">
      <pivotArea outline="0" fieldPosition="0">
        <references count="1">
          <reference field="55" count="4" selected="0" defaultSubtotal="1">
            <x v="5"/>
            <x v="6"/>
            <x v="7"/>
            <x v="8"/>
          </reference>
        </references>
      </pivotArea>
    </format>
    <format dxfId="201">
      <pivotArea type="topRight" dataOnly="0" labelOnly="1" outline="0" offset="O1:V1" fieldPosition="0"/>
    </format>
    <format dxfId="200">
      <pivotArea dataOnly="0" labelOnly="1" outline="0" fieldPosition="0">
        <references count="1">
          <reference field="55" count="4">
            <x v="5"/>
            <x v="6"/>
            <x v="7"/>
            <x v="8"/>
          </reference>
        </references>
      </pivotArea>
    </format>
    <format dxfId="199">
      <pivotArea dataOnly="0" labelOnly="1" outline="0" fieldPosition="0">
        <references count="1">
          <reference field="55" count="4" defaultSubtotal="1">
            <x v="5"/>
            <x v="6"/>
            <x v="7"/>
            <x v="8"/>
          </reference>
        </references>
      </pivotArea>
    </format>
    <format dxfId="198">
      <pivotArea dataOnly="0" labelOnly="1" outline="0" fieldPosition="0">
        <references count="2">
          <reference field="3" count="1">
            <x v="15"/>
          </reference>
          <reference field="55" count="1" selected="0">
            <x v="5"/>
          </reference>
        </references>
      </pivotArea>
    </format>
    <format dxfId="197">
      <pivotArea dataOnly="0" labelOnly="1" outline="0" fieldPosition="0">
        <references count="2">
          <reference field="3" count="1">
            <x v="16"/>
          </reference>
          <reference field="55" count="1" selected="0">
            <x v="6"/>
          </reference>
        </references>
      </pivotArea>
    </format>
    <format dxfId="196">
      <pivotArea dataOnly="0" labelOnly="1" outline="0" fieldPosition="0">
        <references count="2">
          <reference field="3" count="1">
            <x v="17"/>
          </reference>
          <reference field="55" count="1" selected="0">
            <x v="7"/>
          </reference>
        </references>
      </pivotArea>
    </format>
    <format dxfId="195">
      <pivotArea dataOnly="0" labelOnly="1" outline="0" fieldPosition="0">
        <references count="2">
          <reference field="3" count="1">
            <x v="18"/>
          </reference>
          <reference field="55" count="1" selected="0">
            <x v="8"/>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2" dataOnRows="1" applyNumberFormats="0" applyBorderFormats="0" applyFontFormats="0" applyPatternFormats="0" applyAlignmentFormats="0" applyWidthHeightFormats="1" dataCaption="Data" updatedVersion="3" minRefreshableVersion="3" asteriskTotals="1" showMemberPropertyTips="0" useAutoFormatting="1" colGrandTotals="0" itemPrintTitles="1" createdVersion="3" indent="0" compact="0" compactData="0" gridDropZones="1">
  <location ref="A3:T124" firstHeaderRow="1" firstDataRow="3" firstDataCol="2"/>
  <pivotFields count="50">
    <pivotField axis="axisRow" compact="0" outline="0" subtotalTop="0" showAll="0" includeNewItemsInFilter="1">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axis="axisCol" compact="0" outline="0" subtotalTop="0" showAll="0" includeNewItemsInFilter="1">
      <items count="20">
        <item x="0"/>
        <item x="1"/>
        <item x="2"/>
        <item x="3"/>
        <item x="4"/>
        <item x="5"/>
        <item x="12"/>
        <item x="6"/>
        <item h="1" x="14"/>
        <item x="7"/>
        <item h="1" x="15"/>
        <item x="8"/>
        <item m="1" x="18"/>
        <item h="1" x="16"/>
        <item h="1" x="17"/>
        <item x="9"/>
        <item x="10"/>
        <item x="13"/>
        <item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howAll="0" defaultSubtotal="0"/>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howAll="0" defaultSubtotal="0"/>
    <pivotField compact="0"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howAll="0" defaultSubtotal="0"/>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howAll="0" defaultSubtotal="0"/>
    <pivotField compact="0" outline="0" subtotalTop="0" showAll="0" includeNewItemsInFilter="1"/>
    <pivotField compact="0" numFmtId="3"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0">
        <item n="Four-Year" x="6"/>
        <item n="Two-Year" x="7"/>
        <item x="1"/>
        <item x="2"/>
        <item x="5"/>
        <item x="3"/>
        <item x="4"/>
        <item n="Technical" x="8"/>
        <item x="0"/>
        <item t="default"/>
      </items>
    </pivotField>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45"/>
    <field x="3"/>
  </colFields>
  <colItems count="18">
    <i>
      <x/>
      <x/>
    </i>
    <i r="1">
      <x v="1"/>
    </i>
    <i r="1">
      <x v="2"/>
    </i>
    <i r="1">
      <x v="3"/>
    </i>
    <i r="1">
      <x v="4"/>
    </i>
    <i r="1">
      <x v="5"/>
    </i>
    <i t="default">
      <x/>
    </i>
    <i>
      <x v="1"/>
      <x v="6"/>
    </i>
    <i r="1">
      <x v="7"/>
    </i>
    <i r="1">
      <x v="9"/>
    </i>
    <i r="1">
      <x v="11"/>
    </i>
    <i t="default">
      <x v="1"/>
    </i>
    <i>
      <x v="7"/>
      <x v="15"/>
    </i>
    <i r="1">
      <x v="16"/>
    </i>
    <i r="1">
      <x v="17"/>
    </i>
    <i t="default">
      <x v="7"/>
    </i>
    <i>
      <x v="8"/>
      <x v="18"/>
    </i>
    <i t="default">
      <x v="8"/>
    </i>
  </colItems>
  <dataFields count="7">
    <dataField name="Sum of Old-Total UGH" fld="47" baseField="0" baseItem="0" numFmtId="3"/>
    <dataField name="Sum of Old-Total HSH" fld="48" baseField="0" baseItem="0" numFmtId="3"/>
    <dataField name="Sum of Old-HS % of Total" fld="44" baseField="0" baseItem="0" numFmtId="3"/>
    <dataField name="Sum of New-Total UGH" fld="42" baseField="0" baseItem="0" numFmtId="3"/>
    <dataField name="Sum of New-Total HSH" fld="41" baseField="0" baseItem="0" numFmtId="3"/>
    <dataField name="Sum of New-HS % of Total" fld="43" baseField="0" baseItem="0" numFmtId="3"/>
    <dataField name=" HS % Change" fld="49" baseField="0" baseItem="0" numFmtId="3"/>
  </dataFields>
  <formats count="151">
    <format dxfId="194">
      <pivotArea outline="0" fieldPosition="0">
        <references count="2">
          <reference field="4294967294" count="1" selected="0">
            <x v="2"/>
          </reference>
          <reference field="0" count="1" selected="0">
            <x v="0"/>
          </reference>
        </references>
      </pivotArea>
    </format>
    <format dxfId="193">
      <pivotArea dataOnly="0" labelOnly="1" outline="0" fieldPosition="0">
        <references count="2">
          <reference field="4294967294" count="1">
            <x v="2"/>
          </reference>
          <reference field="0" count="1" selected="0">
            <x v="0"/>
          </reference>
        </references>
      </pivotArea>
    </format>
    <format dxfId="192">
      <pivotArea outline="0" fieldPosition="0">
        <references count="2">
          <reference field="4294967294" count="1" selected="0">
            <x v="5"/>
          </reference>
          <reference field="0" count="1" selected="0">
            <x v="0"/>
          </reference>
        </references>
      </pivotArea>
    </format>
    <format dxfId="191">
      <pivotArea dataOnly="0" labelOnly="1" outline="0" fieldPosition="0">
        <references count="2">
          <reference field="4294967294" count="1">
            <x v="5"/>
          </reference>
          <reference field="0" count="1" selected="0">
            <x v="0"/>
          </reference>
        </references>
      </pivotArea>
    </format>
    <format dxfId="190">
      <pivotArea outline="0" fieldPosition="0">
        <references count="2">
          <reference field="4294967294" count="1" selected="0">
            <x v="5"/>
          </reference>
          <reference field="0" count="1" selected="0">
            <x v="0"/>
          </reference>
        </references>
      </pivotArea>
    </format>
    <format dxfId="189">
      <pivotArea dataOnly="0" labelOnly="1" outline="0" fieldPosition="0">
        <references count="1">
          <reference field="0" count="1">
            <x v="0"/>
          </reference>
        </references>
      </pivotArea>
    </format>
    <format dxfId="188">
      <pivotArea dataOnly="0" labelOnly="1" outline="0" fieldPosition="0">
        <references count="1">
          <reference field="0" count="1">
            <x v="1"/>
          </reference>
        </references>
      </pivotArea>
    </format>
    <format dxfId="187">
      <pivotArea dataOnly="0" labelOnly="1" outline="0" fieldPosition="0">
        <references count="1">
          <reference field="0" count="1">
            <x v="2"/>
          </reference>
        </references>
      </pivotArea>
    </format>
    <format dxfId="186">
      <pivotArea dataOnly="0" labelOnly="1" outline="0" fieldPosition="0">
        <references count="1">
          <reference field="0" count="1">
            <x v="3"/>
          </reference>
        </references>
      </pivotArea>
    </format>
    <format dxfId="185">
      <pivotArea dataOnly="0" labelOnly="1" outline="0" fieldPosition="0">
        <references count="1">
          <reference field="0" count="1">
            <x v="4"/>
          </reference>
        </references>
      </pivotArea>
    </format>
    <format dxfId="184">
      <pivotArea dataOnly="0" labelOnly="1" outline="0" fieldPosition="0">
        <references count="1">
          <reference field="0" count="1">
            <x v="5"/>
          </reference>
        </references>
      </pivotArea>
    </format>
    <format dxfId="183">
      <pivotArea dataOnly="0" labelOnly="1" outline="0" fieldPosition="0">
        <references count="1">
          <reference field="0" count="1">
            <x v="7"/>
          </reference>
        </references>
      </pivotArea>
    </format>
    <format dxfId="182">
      <pivotArea dataOnly="0" labelOnly="1" outline="0" fieldPosition="0">
        <references count="1">
          <reference field="0" count="1">
            <x v="8"/>
          </reference>
        </references>
      </pivotArea>
    </format>
    <format dxfId="181">
      <pivotArea dataOnly="0" labelOnly="1" outline="0" fieldPosition="0">
        <references count="1">
          <reference field="0" count="1">
            <x v="9"/>
          </reference>
        </references>
      </pivotArea>
    </format>
    <format dxfId="180">
      <pivotArea dataOnly="0" labelOnly="1" outline="0" fieldPosition="0">
        <references count="1">
          <reference field="0" count="1">
            <x v="10"/>
          </reference>
        </references>
      </pivotArea>
    </format>
    <format dxfId="179">
      <pivotArea dataOnly="0" labelOnly="1" outline="0" fieldPosition="0">
        <references count="1">
          <reference field="0" count="1">
            <x v="11"/>
          </reference>
        </references>
      </pivotArea>
    </format>
    <format dxfId="178">
      <pivotArea dataOnly="0" labelOnly="1" outline="0" fieldPosition="0">
        <references count="1">
          <reference field="0" count="1">
            <x v="12"/>
          </reference>
        </references>
      </pivotArea>
    </format>
    <format dxfId="177">
      <pivotArea dataOnly="0" labelOnly="1" outline="0" fieldPosition="0">
        <references count="1">
          <reference field="0" count="1">
            <x v="13"/>
          </reference>
        </references>
      </pivotArea>
    </format>
    <format dxfId="176">
      <pivotArea dataOnly="0" labelOnly="1" outline="0" fieldPosition="0">
        <references count="1">
          <reference field="0" count="1">
            <x v="14"/>
          </reference>
        </references>
      </pivotArea>
    </format>
    <format dxfId="175">
      <pivotArea dataOnly="0" labelOnly="1" outline="0" fieldPosition="0">
        <references count="1">
          <reference field="0" count="1">
            <x v="15"/>
          </reference>
        </references>
      </pivotArea>
    </format>
    <format dxfId="174">
      <pivotArea dataOnly="0" labelOnly="1" outline="0" fieldPosition="0">
        <references count="1">
          <reference field="0" count="1">
            <x v="6"/>
          </reference>
        </references>
      </pivotArea>
    </format>
    <format dxfId="173">
      <pivotArea outline="0" fieldPosition="0">
        <references count="2">
          <reference field="4294967294" count="1" selected="0">
            <x v="5"/>
          </reference>
          <reference field="0" count="1" selected="0">
            <x v="0"/>
          </reference>
        </references>
      </pivotArea>
    </format>
    <format dxfId="172">
      <pivotArea outline="0" fieldPosition="0">
        <references count="2">
          <reference field="4294967294" count="1" selected="0">
            <x v="2"/>
          </reference>
          <reference field="0" count="1" selected="0">
            <x v="1"/>
          </reference>
        </references>
      </pivotArea>
    </format>
    <format dxfId="171">
      <pivotArea outline="0" fieldPosition="0">
        <references count="2">
          <reference field="4294967294" count="1" selected="0">
            <x v="2"/>
          </reference>
          <reference field="0" count="1" selected="0">
            <x v="1"/>
          </reference>
        </references>
      </pivotArea>
    </format>
    <format dxfId="170">
      <pivotArea outline="0" fieldPosition="0">
        <references count="2">
          <reference field="4294967294" count="1" selected="0">
            <x v="5"/>
          </reference>
          <reference field="0" count="1" selected="0">
            <x v="0"/>
          </reference>
        </references>
      </pivotArea>
    </format>
    <format dxfId="169">
      <pivotArea dataOnly="0" labelOnly="1" outline="0" offset="IV256" fieldPosition="0">
        <references count="1">
          <reference field="0" count="1">
            <x v="0"/>
          </reference>
        </references>
      </pivotArea>
    </format>
    <format dxfId="168">
      <pivotArea dataOnly="0" labelOnly="1" outline="0" fieldPosition="0">
        <references count="2">
          <reference field="4294967294" count="1">
            <x v="5"/>
          </reference>
          <reference field="0" count="1" selected="0">
            <x v="0"/>
          </reference>
        </references>
      </pivotArea>
    </format>
    <format dxfId="167">
      <pivotArea type="all" dataOnly="0" outline="0" fieldPosition="0"/>
    </format>
    <format dxfId="166">
      <pivotArea outline="0" fieldPosition="0">
        <references count="2">
          <reference field="4294967294" count="1" selected="0">
            <x v="5"/>
          </reference>
          <reference field="0" count="1" selected="0">
            <x v="0"/>
          </reference>
        </references>
      </pivotArea>
    </format>
    <format dxfId="165">
      <pivotArea dataOnly="0" labelOnly="1" outline="0" fieldPosition="0">
        <references count="2">
          <reference field="4294967294" count="1">
            <x v="0"/>
          </reference>
          <reference field="0" count="1" selected="0">
            <x v="1"/>
          </reference>
        </references>
      </pivotArea>
    </format>
    <format dxfId="164">
      <pivotArea dataOnly="0" labelOnly="1" outline="0" fieldPosition="0">
        <references count="2">
          <reference field="4294967294" count="1">
            <x v="0"/>
          </reference>
          <reference field="0" count="1" selected="0">
            <x v="2"/>
          </reference>
        </references>
      </pivotArea>
    </format>
    <format dxfId="163">
      <pivotArea dataOnly="0" labelOnly="1" outline="0" fieldPosition="0">
        <references count="2">
          <reference field="4294967294" count="1">
            <x v="0"/>
          </reference>
          <reference field="0" count="1" selected="0">
            <x v="3"/>
          </reference>
        </references>
      </pivotArea>
    </format>
    <format dxfId="162">
      <pivotArea dataOnly="0" labelOnly="1" outline="0" fieldPosition="0">
        <references count="2">
          <reference field="4294967294" count="1">
            <x v="0"/>
          </reference>
          <reference field="0" count="1" selected="0">
            <x v="4"/>
          </reference>
        </references>
      </pivotArea>
    </format>
    <format dxfId="161">
      <pivotArea dataOnly="0" labelOnly="1" outline="0" fieldPosition="0">
        <references count="2">
          <reference field="4294967294" count="1">
            <x v="0"/>
          </reference>
          <reference field="0" count="1" selected="0">
            <x v="5"/>
          </reference>
        </references>
      </pivotArea>
    </format>
    <format dxfId="160">
      <pivotArea dataOnly="0" labelOnly="1" outline="0" fieldPosition="0">
        <references count="2">
          <reference field="4294967294" count="1">
            <x v="0"/>
          </reference>
          <reference field="0" count="1" selected="0">
            <x v="6"/>
          </reference>
        </references>
      </pivotArea>
    </format>
    <format dxfId="159">
      <pivotArea dataOnly="0" labelOnly="1" outline="0" fieldPosition="0">
        <references count="2">
          <reference field="4294967294" count="1">
            <x v="0"/>
          </reference>
          <reference field="0" count="1" selected="0">
            <x v="7"/>
          </reference>
        </references>
      </pivotArea>
    </format>
    <format dxfId="158">
      <pivotArea dataOnly="0" labelOnly="1" outline="0" fieldPosition="0">
        <references count="2">
          <reference field="4294967294" count="1">
            <x v="0"/>
          </reference>
          <reference field="0" count="1" selected="0">
            <x v="8"/>
          </reference>
        </references>
      </pivotArea>
    </format>
    <format dxfId="157">
      <pivotArea dataOnly="0" labelOnly="1" outline="0" fieldPosition="0">
        <references count="2">
          <reference field="4294967294" count="1">
            <x v="0"/>
          </reference>
          <reference field="0" count="1" selected="0">
            <x v="9"/>
          </reference>
        </references>
      </pivotArea>
    </format>
    <format dxfId="156">
      <pivotArea dataOnly="0" labelOnly="1" outline="0" fieldPosition="0">
        <references count="2">
          <reference field="4294967294" count="1">
            <x v="0"/>
          </reference>
          <reference field="0" count="1" selected="0">
            <x v="10"/>
          </reference>
        </references>
      </pivotArea>
    </format>
    <format dxfId="155">
      <pivotArea dataOnly="0" labelOnly="1" outline="0" fieldPosition="0">
        <references count="2">
          <reference field="4294967294" count="1">
            <x v="0"/>
          </reference>
          <reference field="0" count="1" selected="0">
            <x v="11"/>
          </reference>
        </references>
      </pivotArea>
    </format>
    <format dxfId="154">
      <pivotArea dataOnly="0" labelOnly="1" outline="0" fieldPosition="0">
        <references count="2">
          <reference field="4294967294" count="1">
            <x v="0"/>
          </reference>
          <reference field="0" count="1" selected="0">
            <x v="12"/>
          </reference>
        </references>
      </pivotArea>
    </format>
    <format dxfId="153">
      <pivotArea dataOnly="0" labelOnly="1" outline="0" fieldPosition="0">
        <references count="2">
          <reference field="4294967294" count="1">
            <x v="0"/>
          </reference>
          <reference field="0" count="1" selected="0">
            <x v="13"/>
          </reference>
        </references>
      </pivotArea>
    </format>
    <format dxfId="152">
      <pivotArea dataOnly="0" labelOnly="1" outline="0" fieldPosition="0">
        <references count="2">
          <reference field="4294967294" count="1">
            <x v="0"/>
          </reference>
          <reference field="0" count="1" selected="0">
            <x v="14"/>
          </reference>
        </references>
      </pivotArea>
    </format>
    <format dxfId="151">
      <pivotArea dataOnly="0" labelOnly="1" outline="0" fieldPosition="0">
        <references count="2">
          <reference field="4294967294" count="1">
            <x v="0"/>
          </reference>
          <reference field="0" count="1" selected="0">
            <x v="15"/>
          </reference>
        </references>
      </pivotArea>
    </format>
    <format dxfId="150">
      <pivotArea outline="0" fieldPosition="0">
        <references count="2">
          <reference field="4294967294" count="1" selected="0">
            <x v="0"/>
          </reference>
          <reference field="0" count="1" selected="0">
            <x v="6"/>
          </reference>
        </references>
      </pivotArea>
    </format>
    <format dxfId="149">
      <pivotArea dataOnly="0" labelOnly="1" outline="0" offset="IV1" fieldPosition="0">
        <references count="1">
          <reference field="0" count="1">
            <x v="6"/>
          </reference>
        </references>
      </pivotArea>
    </format>
    <format dxfId="148">
      <pivotArea dataOnly="0" labelOnly="1" outline="0" fieldPosition="0">
        <references count="2">
          <reference field="4294967294" count="1">
            <x v="0"/>
          </reference>
          <reference field="0" count="1" selected="0">
            <x v="6"/>
          </reference>
        </references>
      </pivotArea>
    </format>
    <format dxfId="147">
      <pivotArea outline="0" fieldPosition="0">
        <references count="2">
          <reference field="4294967294" count="1" selected="0">
            <x v="1"/>
          </reference>
          <reference field="0" count="1" selected="0">
            <x v="6"/>
          </reference>
        </references>
      </pivotArea>
    </format>
    <format dxfId="146">
      <pivotArea dataOnly="0" labelOnly="1" outline="0" offset="IV2" fieldPosition="0">
        <references count="1">
          <reference field="0" count="1">
            <x v="6"/>
          </reference>
        </references>
      </pivotArea>
    </format>
    <format dxfId="145">
      <pivotArea dataOnly="0" labelOnly="1" outline="0" fieldPosition="0">
        <references count="2">
          <reference field="4294967294" count="1">
            <x v="1"/>
          </reference>
          <reference field="0" count="1" selected="0">
            <x v="6"/>
          </reference>
        </references>
      </pivotArea>
    </format>
    <format dxfId="144">
      <pivotArea outline="0" fieldPosition="0">
        <references count="2">
          <reference field="4294967294" count="1" selected="0">
            <x v="2"/>
          </reference>
          <reference field="0" count="1" selected="0">
            <x v="0"/>
          </reference>
        </references>
      </pivotArea>
    </format>
    <format dxfId="143">
      <pivotArea dataOnly="0" labelOnly="1" outline="0" fieldPosition="0">
        <references count="2">
          <reference field="4294967294" count="1">
            <x v="2"/>
          </reference>
          <reference field="0" count="1" selected="0">
            <x v="0"/>
          </reference>
        </references>
      </pivotArea>
    </format>
    <format dxfId="142">
      <pivotArea dataOnly="0" labelOnly="1" outline="0" fieldPosition="0">
        <references count="2">
          <reference field="4294967294" count="1">
            <x v="2"/>
          </reference>
          <reference field="0" count="1" selected="0">
            <x v="0"/>
          </reference>
        </references>
      </pivotArea>
    </format>
    <format dxfId="141">
      <pivotArea dataOnly="0" labelOnly="1" outline="0" fieldPosition="0">
        <references count="2">
          <reference field="4294967294" count="1">
            <x v="5"/>
          </reference>
          <reference field="0" count="1" selected="0">
            <x v="0"/>
          </reference>
        </references>
      </pivotArea>
    </format>
    <format dxfId="140">
      <pivotArea dataOnly="0" labelOnly="1" outline="0" fieldPosition="0">
        <references count="2">
          <reference field="4294967294" count="1">
            <x v="2"/>
          </reference>
          <reference field="0" count="1" selected="0">
            <x v="1"/>
          </reference>
        </references>
      </pivotArea>
    </format>
    <format dxfId="139">
      <pivotArea dataOnly="0" labelOnly="1" outline="0" fieldPosition="0">
        <references count="2">
          <reference field="4294967294" count="1">
            <x v="5"/>
          </reference>
          <reference field="0" count="1" selected="0">
            <x v="1"/>
          </reference>
        </references>
      </pivotArea>
    </format>
    <format dxfId="138">
      <pivotArea dataOnly="0" labelOnly="1" outline="0" fieldPosition="0">
        <references count="2">
          <reference field="4294967294" count="1">
            <x v="2"/>
          </reference>
          <reference field="0" count="1" selected="0">
            <x v="2"/>
          </reference>
        </references>
      </pivotArea>
    </format>
    <format dxfId="137">
      <pivotArea dataOnly="0" labelOnly="1" outline="0" fieldPosition="0">
        <references count="2">
          <reference field="4294967294" count="1">
            <x v="5"/>
          </reference>
          <reference field="0" count="1" selected="0">
            <x v="2"/>
          </reference>
        </references>
      </pivotArea>
    </format>
    <format dxfId="136">
      <pivotArea dataOnly="0" labelOnly="1" outline="0" fieldPosition="0">
        <references count="2">
          <reference field="4294967294" count="1">
            <x v="2"/>
          </reference>
          <reference field="0" count="1" selected="0">
            <x v="3"/>
          </reference>
        </references>
      </pivotArea>
    </format>
    <format dxfId="135">
      <pivotArea dataOnly="0" labelOnly="1" outline="0" fieldPosition="0">
        <references count="2">
          <reference field="4294967294" count="1">
            <x v="5"/>
          </reference>
          <reference field="0" count="1" selected="0">
            <x v="3"/>
          </reference>
        </references>
      </pivotArea>
    </format>
    <format dxfId="134">
      <pivotArea dataOnly="0" labelOnly="1" outline="0" fieldPosition="0">
        <references count="2">
          <reference field="4294967294" count="1">
            <x v="2"/>
          </reference>
          <reference field="0" count="1" selected="0">
            <x v="4"/>
          </reference>
        </references>
      </pivotArea>
    </format>
    <format dxfId="133">
      <pivotArea dataOnly="0" labelOnly="1" outline="0" fieldPosition="0">
        <references count="2">
          <reference field="4294967294" count="1">
            <x v="5"/>
          </reference>
          <reference field="0" count="1" selected="0">
            <x v="4"/>
          </reference>
        </references>
      </pivotArea>
    </format>
    <format dxfId="132">
      <pivotArea dataOnly="0" labelOnly="1" outline="0" fieldPosition="0">
        <references count="2">
          <reference field="4294967294" count="1">
            <x v="2"/>
          </reference>
          <reference field="0" count="1" selected="0">
            <x v="5"/>
          </reference>
        </references>
      </pivotArea>
    </format>
    <format dxfId="131">
      <pivotArea dataOnly="0" labelOnly="1" outline="0" fieldPosition="0">
        <references count="2">
          <reference field="4294967294" count="1">
            <x v="5"/>
          </reference>
          <reference field="0" count="1" selected="0">
            <x v="5"/>
          </reference>
        </references>
      </pivotArea>
    </format>
    <format dxfId="130">
      <pivotArea dataOnly="0" labelOnly="1" outline="0" fieldPosition="0">
        <references count="2">
          <reference field="4294967294" count="1">
            <x v="2"/>
          </reference>
          <reference field="0" count="1" selected="0">
            <x v="6"/>
          </reference>
        </references>
      </pivotArea>
    </format>
    <format dxfId="129">
      <pivotArea dataOnly="0" labelOnly="1" outline="0" fieldPosition="0">
        <references count="2">
          <reference field="4294967294" count="1">
            <x v="5"/>
          </reference>
          <reference field="0" count="1" selected="0">
            <x v="6"/>
          </reference>
        </references>
      </pivotArea>
    </format>
    <format dxfId="128">
      <pivotArea dataOnly="0" labelOnly="1" outline="0" fieldPosition="0">
        <references count="2">
          <reference field="4294967294" count="1">
            <x v="2"/>
          </reference>
          <reference field="0" count="1" selected="0">
            <x v="7"/>
          </reference>
        </references>
      </pivotArea>
    </format>
    <format dxfId="127">
      <pivotArea dataOnly="0" labelOnly="1" outline="0" fieldPosition="0">
        <references count="2">
          <reference field="4294967294" count="1">
            <x v="5"/>
          </reference>
          <reference field="0" count="1" selected="0">
            <x v="7"/>
          </reference>
        </references>
      </pivotArea>
    </format>
    <format dxfId="126">
      <pivotArea dataOnly="0" labelOnly="1" outline="0" fieldPosition="0">
        <references count="2">
          <reference field="4294967294" count="1">
            <x v="2"/>
          </reference>
          <reference field="0" count="1" selected="0">
            <x v="8"/>
          </reference>
        </references>
      </pivotArea>
    </format>
    <format dxfId="125">
      <pivotArea dataOnly="0" labelOnly="1" outline="0" fieldPosition="0">
        <references count="2">
          <reference field="4294967294" count="1">
            <x v="5"/>
          </reference>
          <reference field="0" count="1" selected="0">
            <x v="8"/>
          </reference>
        </references>
      </pivotArea>
    </format>
    <format dxfId="124">
      <pivotArea dataOnly="0" labelOnly="1" outline="0" fieldPosition="0">
        <references count="2">
          <reference field="4294967294" count="1">
            <x v="2"/>
          </reference>
          <reference field="0" count="1" selected="0">
            <x v="9"/>
          </reference>
        </references>
      </pivotArea>
    </format>
    <format dxfId="123">
      <pivotArea dataOnly="0" labelOnly="1" outline="0" fieldPosition="0">
        <references count="2">
          <reference field="4294967294" count="1">
            <x v="5"/>
          </reference>
          <reference field="0" count="1" selected="0">
            <x v="9"/>
          </reference>
        </references>
      </pivotArea>
    </format>
    <format dxfId="122">
      <pivotArea dataOnly="0" labelOnly="1" outline="0" fieldPosition="0">
        <references count="2">
          <reference field="4294967294" count="1">
            <x v="2"/>
          </reference>
          <reference field="0" count="1" selected="0">
            <x v="10"/>
          </reference>
        </references>
      </pivotArea>
    </format>
    <format dxfId="121">
      <pivotArea dataOnly="0" labelOnly="1" outline="0" fieldPosition="0">
        <references count="2">
          <reference field="4294967294" count="1">
            <x v="5"/>
          </reference>
          <reference field="0" count="1" selected="0">
            <x v="10"/>
          </reference>
        </references>
      </pivotArea>
    </format>
    <format dxfId="120">
      <pivotArea dataOnly="0" labelOnly="1" outline="0" fieldPosition="0">
        <references count="2">
          <reference field="4294967294" count="1">
            <x v="2"/>
          </reference>
          <reference field="0" count="1" selected="0">
            <x v="11"/>
          </reference>
        </references>
      </pivotArea>
    </format>
    <format dxfId="119">
      <pivotArea dataOnly="0" labelOnly="1" outline="0" fieldPosition="0">
        <references count="2">
          <reference field="4294967294" count="1">
            <x v="5"/>
          </reference>
          <reference field="0" count="1" selected="0">
            <x v="11"/>
          </reference>
        </references>
      </pivotArea>
    </format>
    <format dxfId="118">
      <pivotArea dataOnly="0" labelOnly="1" outline="0" fieldPosition="0">
        <references count="2">
          <reference field="4294967294" count="1">
            <x v="2"/>
          </reference>
          <reference field="0" count="1" selected="0">
            <x v="12"/>
          </reference>
        </references>
      </pivotArea>
    </format>
    <format dxfId="117">
      <pivotArea dataOnly="0" labelOnly="1" outline="0" fieldPosition="0">
        <references count="2">
          <reference field="4294967294" count="1">
            <x v="5"/>
          </reference>
          <reference field="0" count="1" selected="0">
            <x v="12"/>
          </reference>
        </references>
      </pivotArea>
    </format>
    <format dxfId="116">
      <pivotArea dataOnly="0" labelOnly="1" outline="0" fieldPosition="0">
        <references count="2">
          <reference field="4294967294" count="1">
            <x v="2"/>
          </reference>
          <reference field="0" count="1" selected="0">
            <x v="13"/>
          </reference>
        </references>
      </pivotArea>
    </format>
    <format dxfId="115">
      <pivotArea dataOnly="0" labelOnly="1" outline="0" fieldPosition="0">
        <references count="2">
          <reference field="4294967294" count="1">
            <x v="5"/>
          </reference>
          <reference field="0" count="1" selected="0">
            <x v="13"/>
          </reference>
        </references>
      </pivotArea>
    </format>
    <format dxfId="114">
      <pivotArea dataOnly="0" labelOnly="1" outline="0" fieldPosition="0">
        <references count="2">
          <reference field="4294967294" count="1">
            <x v="2"/>
          </reference>
          <reference field="0" count="1" selected="0">
            <x v="14"/>
          </reference>
        </references>
      </pivotArea>
    </format>
    <format dxfId="113">
      <pivotArea dataOnly="0" labelOnly="1" outline="0" fieldPosition="0">
        <references count="2">
          <reference field="4294967294" count="1">
            <x v="5"/>
          </reference>
          <reference field="0" count="1" selected="0">
            <x v="14"/>
          </reference>
        </references>
      </pivotArea>
    </format>
    <format dxfId="112">
      <pivotArea dataOnly="0" labelOnly="1" outline="0" fieldPosition="0">
        <references count="2">
          <reference field="4294967294" count="1">
            <x v="2"/>
          </reference>
          <reference field="0" count="1" selected="0">
            <x v="15"/>
          </reference>
        </references>
      </pivotArea>
    </format>
    <format dxfId="111">
      <pivotArea dataOnly="0" labelOnly="1" outline="0" fieldPosition="0">
        <references count="2">
          <reference field="4294967294" count="1">
            <x v="5"/>
          </reference>
          <reference field="0" count="1" selected="0">
            <x v="15"/>
          </reference>
        </references>
      </pivotArea>
    </format>
    <format dxfId="110">
      <pivotArea field="0" grandRow="1" outline="0" collapsedLevelsAreSubtotals="1" axis="axisRow" fieldPosition="0">
        <references count="1">
          <reference field="4294967294" count="1" selected="0">
            <x v="2"/>
          </reference>
        </references>
      </pivotArea>
    </format>
    <format dxfId="109">
      <pivotArea field="0" grandRow="1" outline="0" collapsedLevelsAreSubtotals="1" axis="axisRow" fieldPosition="0">
        <references count="1">
          <reference field="4294967294" count="1" selected="0">
            <x v="2"/>
          </reference>
        </references>
      </pivotArea>
    </format>
    <format dxfId="108">
      <pivotArea field="45" grandRow="1" outline="0" collapsedLevelsAreSubtotals="1" axis="axisCol" fieldPosition="0">
        <references count="3">
          <reference field="4294967294" count="1" selected="0">
            <x v="5"/>
          </reference>
          <reference field="3" count="1" selected="0">
            <x v="3"/>
          </reference>
          <reference field="45" count="1" selected="0">
            <x v="0"/>
          </reference>
        </references>
      </pivotArea>
    </format>
    <format dxfId="107">
      <pivotArea outline="0" collapsedLevelsAreSubtotals="1" fieldPosition="0">
        <references count="4">
          <reference field="4294967294" count="1" selected="0">
            <x v="2"/>
          </reference>
          <reference field="0" count="1" selected="0">
            <x v="15"/>
          </reference>
          <reference field="3" count="1" selected="0">
            <x v="3"/>
          </reference>
          <reference field="45" count="1" selected="0">
            <x v="0"/>
          </reference>
        </references>
      </pivotArea>
    </format>
    <format dxfId="106">
      <pivotArea outline="0" collapsedLevelsAreSubtotals="1" fieldPosition="0">
        <references count="4">
          <reference field="4294967294" count="1" selected="0">
            <x v="5"/>
          </reference>
          <reference field="0" count="1" selected="0">
            <x v="15"/>
          </reference>
          <reference field="3" count="1" selected="0">
            <x v="3"/>
          </reference>
          <reference field="45" count="1" selected="0">
            <x v="0"/>
          </reference>
        </references>
      </pivotArea>
    </format>
    <format dxfId="105">
      <pivotArea outline="0" collapsedLevelsAreSubtotals="1" fieldPosition="0">
        <references count="4">
          <reference field="4294967294" count="1" selected="0">
            <x v="2"/>
          </reference>
          <reference field="0" count="1" selected="0">
            <x v="14"/>
          </reference>
          <reference field="3" count="1" selected="0">
            <x v="3"/>
          </reference>
          <reference field="45" count="1" selected="0">
            <x v="0"/>
          </reference>
        </references>
      </pivotArea>
    </format>
    <format dxfId="104">
      <pivotArea outline="0" collapsedLevelsAreSubtotals="1" fieldPosition="0">
        <references count="4">
          <reference field="4294967294" count="1" selected="0">
            <x v="5"/>
          </reference>
          <reference field="0" count="1" selected="0">
            <x v="14"/>
          </reference>
          <reference field="3" count="1" selected="0">
            <x v="3"/>
          </reference>
          <reference field="45" count="1" selected="0">
            <x v="0"/>
          </reference>
        </references>
      </pivotArea>
    </format>
    <format dxfId="103">
      <pivotArea outline="0" collapsedLevelsAreSubtotals="1" fieldPosition="0">
        <references count="4">
          <reference field="4294967294" count="1" selected="0">
            <x v="2"/>
          </reference>
          <reference field="0" count="1" selected="0">
            <x v="13"/>
          </reference>
          <reference field="3" count="1" selected="0">
            <x v="3"/>
          </reference>
          <reference field="45" count="1" selected="0">
            <x v="0"/>
          </reference>
        </references>
      </pivotArea>
    </format>
    <format dxfId="102">
      <pivotArea outline="0" collapsedLevelsAreSubtotals="1" fieldPosition="0">
        <references count="4">
          <reference field="4294967294" count="1" selected="0">
            <x v="5"/>
          </reference>
          <reference field="0" count="1" selected="0">
            <x v="13"/>
          </reference>
          <reference field="3" count="1" selected="0">
            <x v="3"/>
          </reference>
          <reference field="45" count="1" selected="0">
            <x v="0"/>
          </reference>
        </references>
      </pivotArea>
    </format>
    <format dxfId="101">
      <pivotArea outline="0" collapsedLevelsAreSubtotals="1" fieldPosition="0">
        <references count="4">
          <reference field="4294967294" count="1" selected="0">
            <x v="2"/>
          </reference>
          <reference field="0" count="1" selected="0">
            <x v="12"/>
          </reference>
          <reference field="3" count="1" selected="0">
            <x v="3"/>
          </reference>
          <reference field="45" count="1" selected="0">
            <x v="0"/>
          </reference>
        </references>
      </pivotArea>
    </format>
    <format dxfId="100">
      <pivotArea outline="0" collapsedLevelsAreSubtotals="1" fieldPosition="0">
        <references count="4">
          <reference field="4294967294" count="1" selected="0">
            <x v="5"/>
          </reference>
          <reference field="0" count="1" selected="0">
            <x v="12"/>
          </reference>
          <reference field="3" count="1" selected="0">
            <x v="3"/>
          </reference>
          <reference field="45" count="1" selected="0">
            <x v="0"/>
          </reference>
        </references>
      </pivotArea>
    </format>
    <format dxfId="99">
      <pivotArea outline="0" collapsedLevelsAreSubtotals="1" fieldPosition="0">
        <references count="4">
          <reference field="4294967294" count="1" selected="0">
            <x v="2"/>
          </reference>
          <reference field="0" count="1" selected="0">
            <x v="11"/>
          </reference>
          <reference field="3" count="1" selected="0">
            <x v="3"/>
          </reference>
          <reference field="45" count="1" selected="0">
            <x v="0"/>
          </reference>
        </references>
      </pivotArea>
    </format>
    <format dxfId="98">
      <pivotArea outline="0" collapsedLevelsAreSubtotals="1" fieldPosition="0">
        <references count="4">
          <reference field="4294967294" count="1" selected="0">
            <x v="5"/>
          </reference>
          <reference field="0" count="1" selected="0">
            <x v="11"/>
          </reference>
          <reference field="3" count="1" selected="0">
            <x v="3"/>
          </reference>
          <reference field="45" count="1" selected="0">
            <x v="0"/>
          </reference>
        </references>
      </pivotArea>
    </format>
    <format dxfId="97">
      <pivotArea outline="0" collapsedLevelsAreSubtotals="1" fieldPosition="0">
        <references count="4">
          <reference field="4294967294" count="1" selected="0">
            <x v="2"/>
          </reference>
          <reference field="0" count="1" selected="0">
            <x v="10"/>
          </reference>
          <reference field="3" count="1" selected="0">
            <x v="3"/>
          </reference>
          <reference field="45" count="1" selected="0">
            <x v="0"/>
          </reference>
        </references>
      </pivotArea>
    </format>
    <format dxfId="96">
      <pivotArea outline="0" collapsedLevelsAreSubtotals="1" fieldPosition="0">
        <references count="4">
          <reference field="4294967294" count="1" selected="0">
            <x v="5"/>
          </reference>
          <reference field="0" count="1" selected="0">
            <x v="10"/>
          </reference>
          <reference field="3" count="1" selected="0">
            <x v="3"/>
          </reference>
          <reference field="45" count="1" selected="0">
            <x v="0"/>
          </reference>
        </references>
      </pivotArea>
    </format>
    <format dxfId="95">
      <pivotArea outline="0" collapsedLevelsAreSubtotals="1" fieldPosition="0">
        <references count="4">
          <reference field="4294967294" count="1" selected="0">
            <x v="2"/>
          </reference>
          <reference field="0" count="1" selected="0">
            <x v="9"/>
          </reference>
          <reference field="3" count="1" selected="0">
            <x v="3"/>
          </reference>
          <reference field="45" count="1" selected="0">
            <x v="0"/>
          </reference>
        </references>
      </pivotArea>
    </format>
    <format dxfId="94">
      <pivotArea outline="0" collapsedLevelsAreSubtotals="1" fieldPosition="0">
        <references count="4">
          <reference field="4294967294" count="1" selected="0">
            <x v="5"/>
          </reference>
          <reference field="0" count="1" selected="0">
            <x v="9"/>
          </reference>
          <reference field="3" count="1" selected="0">
            <x v="3"/>
          </reference>
          <reference field="45" count="1" selected="0">
            <x v="0"/>
          </reference>
        </references>
      </pivotArea>
    </format>
    <format dxfId="93">
      <pivotArea outline="0" collapsedLevelsAreSubtotals="1" fieldPosition="0">
        <references count="4">
          <reference field="4294967294" count="1" selected="0">
            <x v="2"/>
          </reference>
          <reference field="0" count="1" selected="0">
            <x v="8"/>
          </reference>
          <reference field="3" count="1" selected="0">
            <x v="3"/>
          </reference>
          <reference field="45" count="1" selected="0">
            <x v="0"/>
          </reference>
        </references>
      </pivotArea>
    </format>
    <format dxfId="92">
      <pivotArea outline="0" collapsedLevelsAreSubtotals="1" fieldPosition="0">
        <references count="4">
          <reference field="4294967294" count="1" selected="0">
            <x v="5"/>
          </reference>
          <reference field="0" count="1" selected="0">
            <x v="8"/>
          </reference>
          <reference field="3" count="1" selected="0">
            <x v="3"/>
          </reference>
          <reference field="45" count="1" selected="0">
            <x v="0"/>
          </reference>
        </references>
      </pivotArea>
    </format>
    <format dxfId="91">
      <pivotArea outline="0" collapsedLevelsAreSubtotals="1" fieldPosition="0">
        <references count="4">
          <reference field="4294967294" count="1" selected="0">
            <x v="2"/>
          </reference>
          <reference field="0" count="1" selected="0">
            <x v="1"/>
          </reference>
          <reference field="3" count="1" selected="0">
            <x v="3"/>
          </reference>
          <reference field="45" count="1" selected="0">
            <x v="0"/>
          </reference>
        </references>
      </pivotArea>
    </format>
    <format dxfId="90">
      <pivotArea outline="0" collapsedLevelsAreSubtotals="1" fieldPosition="0">
        <references count="4">
          <reference field="4294967294" count="1" selected="0">
            <x v="2"/>
          </reference>
          <reference field="0" count="1" selected="0">
            <x v="2"/>
          </reference>
          <reference field="3" count="1" selected="0">
            <x v="3"/>
          </reference>
          <reference field="45" count="1" selected="0">
            <x v="0"/>
          </reference>
        </references>
      </pivotArea>
    </format>
    <format dxfId="89">
      <pivotArea outline="0" collapsedLevelsAreSubtotals="1" fieldPosition="0">
        <references count="4">
          <reference field="4294967294" count="1" selected="0">
            <x v="2"/>
          </reference>
          <reference field="0" count="1" selected="0">
            <x v="3"/>
          </reference>
          <reference field="3" count="1" selected="0">
            <x v="3"/>
          </reference>
          <reference field="45" count="1" selected="0">
            <x v="0"/>
          </reference>
        </references>
      </pivotArea>
    </format>
    <format dxfId="88">
      <pivotArea outline="0" collapsedLevelsAreSubtotals="1" fieldPosition="0">
        <references count="4">
          <reference field="4294967294" count="1" selected="0">
            <x v="2"/>
          </reference>
          <reference field="0" count="1" selected="0">
            <x v="4"/>
          </reference>
          <reference field="3" count="1" selected="0">
            <x v="3"/>
          </reference>
          <reference field="45" count="1" selected="0">
            <x v="0"/>
          </reference>
        </references>
      </pivotArea>
    </format>
    <format dxfId="87">
      <pivotArea outline="0" collapsedLevelsAreSubtotals="1" fieldPosition="0">
        <references count="4">
          <reference field="4294967294" count="1" selected="0">
            <x v="2"/>
          </reference>
          <reference field="0" count="1" selected="0">
            <x v="5"/>
          </reference>
          <reference field="3" count="1" selected="0">
            <x v="3"/>
          </reference>
          <reference field="45" count="1" selected="0">
            <x v="0"/>
          </reference>
        </references>
      </pivotArea>
    </format>
    <format dxfId="86">
      <pivotArea outline="0" collapsedLevelsAreSubtotals="1" fieldPosition="0">
        <references count="4">
          <reference field="4294967294" count="1" selected="0">
            <x v="2"/>
          </reference>
          <reference field="0" count="1" selected="0">
            <x v="6"/>
          </reference>
          <reference field="3" count="1" selected="0">
            <x v="3"/>
          </reference>
          <reference field="45" count="1" selected="0">
            <x v="0"/>
          </reference>
        </references>
      </pivotArea>
    </format>
    <format dxfId="85">
      <pivotArea outline="0" collapsedLevelsAreSubtotals="1" fieldPosition="0">
        <references count="4">
          <reference field="4294967294" count="1" selected="0">
            <x v="2"/>
          </reference>
          <reference field="0" count="1" selected="0">
            <x v="7"/>
          </reference>
          <reference field="3" count="1" selected="0">
            <x v="3"/>
          </reference>
          <reference field="45" count="1" selected="0">
            <x v="0"/>
          </reference>
        </references>
      </pivotArea>
    </format>
    <format dxfId="84">
      <pivotArea outline="0" collapsedLevelsAreSubtotals="1" fieldPosition="0">
        <references count="2">
          <reference field="4294967294" count="1" selected="0">
            <x v="6"/>
          </reference>
          <reference field="0" count="1" selected="0">
            <x v="0"/>
          </reference>
        </references>
      </pivotArea>
    </format>
    <format dxfId="83">
      <pivotArea outline="0" collapsedLevelsAreSubtotals="1" fieldPosition="0">
        <references count="2">
          <reference field="4294967294" count="1" selected="0">
            <x v="6"/>
          </reference>
          <reference field="0" count="1" selected="0">
            <x v="0"/>
          </reference>
        </references>
      </pivotArea>
    </format>
    <format dxfId="82">
      <pivotArea dataOnly="0" labelOnly="1" outline="0" fieldPosition="0">
        <references count="2">
          <reference field="4294967294" count="1">
            <x v="6"/>
          </reference>
          <reference field="0" count="1" selected="0">
            <x v="0"/>
          </reference>
        </references>
      </pivotArea>
    </format>
    <format dxfId="81">
      <pivotArea outline="0" collapsedLevelsAreSubtotals="1" fieldPosition="0">
        <references count="2">
          <reference field="4294967294" count="1" selected="0">
            <x v="6"/>
          </reference>
          <reference field="0" count="1" selected="0">
            <x v="0"/>
          </reference>
        </references>
      </pivotArea>
    </format>
    <format dxfId="80">
      <pivotArea dataOnly="0" labelOnly="1" outline="0" fieldPosition="0">
        <references count="2">
          <reference field="4294967294" count="1">
            <x v="6"/>
          </reference>
          <reference field="0" count="1" selected="0">
            <x v="0"/>
          </reference>
        </references>
      </pivotArea>
    </format>
    <format dxfId="79">
      <pivotArea field="0" dataOnly="0" labelOnly="1" grandRow="1" outline="0" axis="axisRow" fieldPosition="0">
        <references count="1">
          <reference field="4294967294" count="1" selected="0">
            <x v="0"/>
          </reference>
        </references>
      </pivotArea>
    </format>
    <format dxfId="78">
      <pivotArea field="0" dataOnly="0" labelOnly="1" grandRow="1" outline="0" axis="axisRow" fieldPosition="0">
        <references count="1">
          <reference field="4294967294" count="1" selected="0">
            <x v="1"/>
          </reference>
        </references>
      </pivotArea>
    </format>
    <format dxfId="77">
      <pivotArea field="0" dataOnly="0" labelOnly="1" grandRow="1" outline="0" axis="axisRow" fieldPosition="0">
        <references count="1">
          <reference field="4294967294" count="1" selected="0">
            <x v="2"/>
          </reference>
        </references>
      </pivotArea>
    </format>
    <format dxfId="76">
      <pivotArea field="0" dataOnly="0" labelOnly="1" grandRow="1" outline="0" axis="axisRow" fieldPosition="0">
        <references count="1">
          <reference field="4294967294" count="1" selected="0">
            <x v="3"/>
          </reference>
        </references>
      </pivotArea>
    </format>
    <format dxfId="75">
      <pivotArea field="0" dataOnly="0" labelOnly="1" grandRow="1" outline="0" axis="axisRow" fieldPosition="0">
        <references count="1">
          <reference field="4294967294" count="1" selected="0">
            <x v="4"/>
          </reference>
        </references>
      </pivotArea>
    </format>
    <format dxfId="74">
      <pivotArea field="0" dataOnly="0" labelOnly="1" grandRow="1" outline="0" axis="axisRow" fieldPosition="0">
        <references count="1">
          <reference field="4294967294" count="1" selected="0">
            <x v="5"/>
          </reference>
        </references>
      </pivotArea>
    </format>
    <format dxfId="73">
      <pivotArea field="0" dataOnly="0" labelOnly="1" grandRow="1" outline="0" axis="axisRow" fieldPosition="0">
        <references count="1">
          <reference field="4294967294" count="1" selected="0">
            <x v="6"/>
          </reference>
        </references>
      </pivotArea>
    </format>
    <format dxfId="72">
      <pivotArea outline="0" collapsedLevelsAreSubtotals="1" fieldPosition="0">
        <references count="2">
          <reference field="4294967294" count="1" selected="0">
            <x v="2"/>
          </reference>
          <reference field="0" count="1" selected="0">
            <x v="8"/>
          </reference>
        </references>
      </pivotArea>
    </format>
    <format dxfId="71">
      <pivotArea outline="0" collapsedLevelsAreSubtotals="1" fieldPosition="0">
        <references count="2">
          <reference field="4294967294" count="1" selected="0">
            <x v="2"/>
          </reference>
          <reference field="0" count="1" selected="0">
            <x v="8"/>
          </reference>
        </references>
      </pivotArea>
    </format>
    <format dxfId="70">
      <pivotArea outline="0" collapsedLevelsAreSubtotals="1" fieldPosition="0">
        <references count="4">
          <reference field="4294967294" count="1" selected="0">
            <x v="5"/>
          </reference>
          <reference field="0" count="1" selected="0">
            <x v="8"/>
          </reference>
          <reference field="3" count="1" selected="0">
            <x v="0"/>
          </reference>
          <reference field="45" count="1" selected="0">
            <x v="0"/>
          </reference>
        </references>
      </pivotArea>
    </format>
    <format dxfId="69">
      <pivotArea outline="0" collapsedLevelsAreSubtotals="1" fieldPosition="0">
        <references count="4">
          <reference field="4294967294" count="1" selected="0">
            <x v="6"/>
          </reference>
          <reference field="0" count="1" selected="0">
            <x v="8"/>
          </reference>
          <reference field="3" count="1" selected="0">
            <x v="0"/>
          </reference>
          <reference field="45" count="1" selected="0">
            <x v="0"/>
          </reference>
        </references>
      </pivotArea>
    </format>
    <format dxfId="68">
      <pivotArea outline="0" collapsedLevelsAreSubtotals="1" fieldPosition="0">
        <references count="2">
          <reference field="4294967294" count="1" selected="0">
            <x v="6"/>
          </reference>
          <reference field="0" count="1" selected="0">
            <x v="8"/>
          </reference>
        </references>
      </pivotArea>
    </format>
    <format dxfId="67">
      <pivotArea outline="0" collapsedLevelsAreSubtotals="1" fieldPosition="0">
        <references count="2">
          <reference field="4294967294" count="1" selected="0">
            <x v="6"/>
          </reference>
          <reference field="0" count="1" selected="0">
            <x v="8"/>
          </reference>
        </references>
      </pivotArea>
    </format>
    <format dxfId="66">
      <pivotArea outline="0" collapsedLevelsAreSubtotals="1" fieldPosition="0">
        <references count="2">
          <reference field="4294967294" count="1" selected="0">
            <x v="2"/>
          </reference>
          <reference field="0" count="1" selected="0">
            <x v="0"/>
          </reference>
        </references>
      </pivotArea>
    </format>
    <format dxfId="65">
      <pivotArea outline="0" collapsedLevelsAreSubtotals="1" fieldPosition="0">
        <references count="2">
          <reference field="4294967294" count="1" selected="0">
            <x v="6"/>
          </reference>
          <reference field="0" count="1" selected="0">
            <x v="0"/>
          </reference>
        </references>
      </pivotArea>
    </format>
    <format dxfId="64">
      <pivotArea outline="0" collapsedLevelsAreSubtotals="1" fieldPosition="0">
        <references count="2">
          <reference field="4294967294" count="1" selected="0">
            <x v="6"/>
          </reference>
          <reference field="0" count="1" selected="0">
            <x v="0"/>
          </reference>
        </references>
      </pivotArea>
    </format>
    <format dxfId="63">
      <pivotArea outline="0" collapsedLevelsAreSubtotals="1" fieldPosition="0">
        <references count="2">
          <reference field="4294967294" count="1" selected="0">
            <x v="6"/>
          </reference>
          <reference field="0" count="1" selected="0">
            <x v="1"/>
          </reference>
        </references>
      </pivotArea>
    </format>
    <format dxfId="62">
      <pivotArea outline="0" collapsedLevelsAreSubtotals="1" fieldPosition="0">
        <references count="4">
          <reference field="4294967294" count="1" selected="0">
            <x v="6"/>
          </reference>
          <reference field="0" count="1" selected="0">
            <x v="0"/>
          </reference>
          <reference field="3" count="1" selected="0">
            <x v="0"/>
          </reference>
          <reference field="45" count="1" selected="0">
            <x v="0"/>
          </reference>
        </references>
      </pivotArea>
    </format>
    <format dxfId="61">
      <pivotArea outline="0" collapsedLevelsAreSubtotals="1" fieldPosition="0">
        <references count="4">
          <reference field="4294967294" count="1" selected="0">
            <x v="6"/>
          </reference>
          <reference field="0" count="1" selected="0">
            <x v="2"/>
          </reference>
          <reference field="3" count="1" selected="0">
            <x v="0"/>
          </reference>
          <reference field="45" count="1" selected="0">
            <x v="0"/>
          </reference>
        </references>
      </pivotArea>
    </format>
    <format dxfId="60">
      <pivotArea outline="0" collapsedLevelsAreSubtotals="1" fieldPosition="0">
        <references count="4">
          <reference field="4294967294" count="1" selected="0">
            <x v="6"/>
          </reference>
          <reference field="0" count="1" selected="0">
            <x v="3"/>
          </reference>
          <reference field="3" count="1" selected="0">
            <x v="0"/>
          </reference>
          <reference field="45" count="1" selected="0">
            <x v="0"/>
          </reference>
        </references>
      </pivotArea>
    </format>
    <format dxfId="59">
      <pivotArea outline="0" collapsedLevelsAreSubtotals="1" fieldPosition="0">
        <references count="4">
          <reference field="4294967294" count="1" selected="0">
            <x v="6"/>
          </reference>
          <reference field="0" count="1" selected="0">
            <x v="4"/>
          </reference>
          <reference field="3" count="1" selected="0">
            <x v="0"/>
          </reference>
          <reference field="45" count="1" selected="0">
            <x v="0"/>
          </reference>
        </references>
      </pivotArea>
    </format>
    <format dxfId="58">
      <pivotArea outline="0" collapsedLevelsAreSubtotals="1" fieldPosition="0">
        <references count="4">
          <reference field="4294967294" count="1" selected="0">
            <x v="6"/>
          </reference>
          <reference field="0" count="1" selected="0">
            <x v="5"/>
          </reference>
          <reference field="3" count="1" selected="0">
            <x v="0"/>
          </reference>
          <reference field="45" count="1" selected="0">
            <x v="0"/>
          </reference>
        </references>
      </pivotArea>
    </format>
    <format dxfId="57">
      <pivotArea outline="0" collapsedLevelsAreSubtotals="1" fieldPosition="0">
        <references count="4">
          <reference field="4294967294" count="1" selected="0">
            <x v="6"/>
          </reference>
          <reference field="0" count="1" selected="0">
            <x v="6"/>
          </reference>
          <reference field="3" count="1" selected="0">
            <x v="0"/>
          </reference>
          <reference field="45" count="1" selected="0">
            <x v="0"/>
          </reference>
        </references>
      </pivotArea>
    </format>
    <format dxfId="56">
      <pivotArea outline="0" collapsedLevelsAreSubtotals="1" fieldPosition="0">
        <references count="4">
          <reference field="4294967294" count="1" selected="0">
            <x v="6"/>
          </reference>
          <reference field="0" count="1" selected="0">
            <x v="7"/>
          </reference>
          <reference field="3" count="1" selected="0">
            <x v="0"/>
          </reference>
          <reference field="45" count="1" selected="0">
            <x v="0"/>
          </reference>
        </references>
      </pivotArea>
    </format>
    <format dxfId="55">
      <pivotArea outline="0" collapsedLevelsAreSubtotals="1" fieldPosition="0">
        <references count="4">
          <reference field="4294967294" count="1" selected="0">
            <x v="6"/>
          </reference>
          <reference field="0" count="1" selected="0">
            <x v="8"/>
          </reference>
          <reference field="3" count="1" selected="0">
            <x v="0"/>
          </reference>
          <reference field="45" count="1" selected="0">
            <x v="0"/>
          </reference>
        </references>
      </pivotArea>
    </format>
    <format dxfId="54">
      <pivotArea outline="0" collapsedLevelsAreSubtotals="1" fieldPosition="0">
        <references count="4">
          <reference field="4294967294" count="1" selected="0">
            <x v="6"/>
          </reference>
          <reference field="0" count="1" selected="0">
            <x v="9"/>
          </reference>
          <reference field="3" count="1" selected="0">
            <x v="0"/>
          </reference>
          <reference field="45" count="1" selected="0">
            <x v="0"/>
          </reference>
        </references>
      </pivotArea>
    </format>
    <format dxfId="53">
      <pivotArea outline="0" collapsedLevelsAreSubtotals="1" fieldPosition="0">
        <references count="4">
          <reference field="4294967294" count="1" selected="0">
            <x v="6"/>
          </reference>
          <reference field="0" count="1" selected="0">
            <x v="10"/>
          </reference>
          <reference field="3" count="1" selected="0">
            <x v="0"/>
          </reference>
          <reference field="45" count="1" selected="0">
            <x v="0"/>
          </reference>
        </references>
      </pivotArea>
    </format>
    <format dxfId="52">
      <pivotArea outline="0" collapsedLevelsAreSubtotals="1" fieldPosition="0">
        <references count="4">
          <reference field="4294967294" count="1" selected="0">
            <x v="6"/>
          </reference>
          <reference field="0" count="1" selected="0">
            <x v="11"/>
          </reference>
          <reference field="3" count="1" selected="0">
            <x v="0"/>
          </reference>
          <reference field="45" count="1" selected="0">
            <x v="0"/>
          </reference>
        </references>
      </pivotArea>
    </format>
    <format dxfId="51">
      <pivotArea outline="0" collapsedLevelsAreSubtotals="1" fieldPosition="0">
        <references count="4">
          <reference field="4294967294" count="1" selected="0">
            <x v="6"/>
          </reference>
          <reference field="0" count="1" selected="0">
            <x v="12"/>
          </reference>
          <reference field="3" count="1" selected="0">
            <x v="0"/>
          </reference>
          <reference field="45" count="1" selected="0">
            <x v="0"/>
          </reference>
        </references>
      </pivotArea>
    </format>
    <format dxfId="50">
      <pivotArea outline="0" collapsedLevelsAreSubtotals="1" fieldPosition="0">
        <references count="4">
          <reference field="4294967294" count="1" selected="0">
            <x v="6"/>
          </reference>
          <reference field="0" count="1" selected="0">
            <x v="13"/>
          </reference>
          <reference field="3" count="1" selected="0">
            <x v="0"/>
          </reference>
          <reference field="45" count="1" selected="0">
            <x v="0"/>
          </reference>
        </references>
      </pivotArea>
    </format>
    <format dxfId="49">
      <pivotArea outline="0" collapsedLevelsAreSubtotals="1" fieldPosition="0">
        <references count="4">
          <reference field="4294967294" count="1" selected="0">
            <x v="6"/>
          </reference>
          <reference field="0" count="1" selected="0">
            <x v="14"/>
          </reference>
          <reference field="3" count="1" selected="0">
            <x v="0"/>
          </reference>
          <reference field="45" count="1" selected="0">
            <x v="0"/>
          </reference>
        </references>
      </pivotArea>
    </format>
    <format dxfId="48">
      <pivotArea outline="0" collapsedLevelsAreSubtotals="1" fieldPosition="0">
        <references count="4">
          <reference field="4294967294" count="1" selected="0">
            <x v="6"/>
          </reference>
          <reference field="0" count="1" selected="0">
            <x v="15"/>
          </reference>
          <reference field="3" count="1" selected="0">
            <x v="0"/>
          </reference>
          <reference field="45" count="1" selected="0">
            <x v="0"/>
          </reference>
        </references>
      </pivotArea>
    </format>
    <format dxfId="47">
      <pivotArea field="45" grandRow="1" outline="0" collapsedLevelsAreSubtotals="1" axis="axisCol" fieldPosition="0">
        <references count="3">
          <reference field="4294967294" count="1" selected="0">
            <x v="6"/>
          </reference>
          <reference field="3" count="1" selected="0">
            <x v="0"/>
          </reference>
          <reference field="45" count="1" selected="0">
            <x v="0"/>
          </reference>
        </references>
      </pivotArea>
    </format>
    <format dxfId="46">
      <pivotArea field="45" grandRow="1" outline="0" collapsedLevelsAreSubtotals="1" axis="axisCol" fieldPosition="0">
        <references count="3">
          <reference field="4294967294" count="1" selected="0">
            <x v="6"/>
          </reference>
          <reference field="3" count="5" selected="0">
            <x v="1"/>
            <x v="2"/>
            <x v="3"/>
            <x v="4"/>
            <x v="5"/>
          </reference>
          <reference field="45" count="1" selected="0">
            <x v="0"/>
          </reference>
        </references>
      </pivotArea>
    </format>
    <format dxfId="45">
      <pivotArea field="45" grandRow="1" outline="0" collapsedLevelsAreSubtotals="1" axis="axisCol" fieldPosition="0">
        <references count="2">
          <reference field="4294967294" count="1" selected="0">
            <x v="6"/>
          </reference>
          <reference field="45" count="1" selected="0" defaultSubtotal="1">
            <x v="0"/>
          </reference>
        </references>
      </pivotArea>
    </format>
    <format dxfId="44">
      <pivotArea field="45" grandRow="1" outline="0" collapsedLevelsAreSubtotals="1" axis="axisCol" fieldPosition="0">
        <references count="2">
          <reference field="4294967294" count="1" selected="0">
            <x v="6"/>
          </reference>
          <reference field="45" count="3" selected="0" defaultSubtotal="1">
            <x v="1"/>
            <x v="7"/>
            <x v="8"/>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JrSCH08ug3" connectionId="9"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SrSCH08gr3" connectionId="1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JrCH08ug2" connectionId="4"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JrCH08ug4" connectionId="6"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JrSCH08ug4" connectionId="10"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SrSCH08ug3" connectionId="15"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SrSCH08gr2" connectionId="11"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Dual07" connectionId="1"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JrSCH08ug1" connectionId="7"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SrSCH08ug2" connectionId="14"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Dual08" connectionId="2"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JrCH08ug1" connectionId="3"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JrSCH08ug2" connectionId="8"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SrSCH08ug4" connectionId="16"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JrCH08ug3" connectionId="5"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SrSCH08gr4" connectionId="1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18" Type="http://schemas.openxmlformats.org/officeDocument/2006/relationships/queryTable" Target="../queryTables/queryTable1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17" Type="http://schemas.openxmlformats.org/officeDocument/2006/relationships/queryTable" Target="../queryTables/queryTable15.xml"/><Relationship Id="rId2" Type="http://schemas.openxmlformats.org/officeDocument/2006/relationships/vmlDrawing" Target="../drawings/vmlDrawing1.vml"/><Relationship Id="rId16" Type="http://schemas.openxmlformats.org/officeDocument/2006/relationships/queryTable" Target="../queryTables/queryTable14.xml"/><Relationship Id="rId1" Type="http://schemas.openxmlformats.org/officeDocument/2006/relationships/printerSettings" Target="../printerSettings/printerSettings1.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5" Type="http://schemas.openxmlformats.org/officeDocument/2006/relationships/queryTable" Target="../queryTables/queryTable13.xml"/><Relationship Id="rId10" Type="http://schemas.openxmlformats.org/officeDocument/2006/relationships/queryTable" Target="../queryTables/queryTable8.xml"/><Relationship Id="rId19" Type="http://schemas.openxmlformats.org/officeDocument/2006/relationships/comments" Target="../comments1.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queryTable" Target="../queryTables/queryTable1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2"/>
  </sheetPr>
  <dimension ref="A1:AZ726"/>
  <sheetViews>
    <sheetView tabSelected="1" zoomScale="80" zoomScaleNormal="80" workbookViewId="0">
      <pane xSplit="4" ySplit="4" topLeftCell="E5" activePane="bottomRight" state="frozen"/>
      <selection pane="topRight" activeCell="E1" sqref="E1"/>
      <selection pane="bottomLeft" activeCell="A5" sqref="A5"/>
      <selection pane="bottomRight" activeCell="G14" sqref="G14"/>
    </sheetView>
  </sheetViews>
  <sheetFormatPr defaultRowHeight="12.75"/>
  <cols>
    <col min="1" max="1" width="6.5" style="327" customWidth="1"/>
    <col min="2" max="2" width="41.1640625" style="327" customWidth="1"/>
    <col min="3" max="3" width="11.1640625" style="335" customWidth="1"/>
    <col min="4" max="4" width="7.6640625" style="336" customWidth="1"/>
    <col min="5" max="5" width="10.6640625" style="337" customWidth="1"/>
    <col min="6" max="6" width="11" style="338" customWidth="1"/>
    <col min="7" max="7" width="10.83203125" style="339" customWidth="1"/>
    <col min="8" max="8" width="10.83203125" style="328" customWidth="1"/>
    <col min="9" max="9" width="11.33203125" style="339" customWidth="1"/>
    <col min="10" max="10" width="12.1640625" style="328" bestFit="1" customWidth="1"/>
    <col min="11" max="11" width="12.33203125" style="339" customWidth="1"/>
    <col min="12" max="12" width="12.1640625" style="328" customWidth="1"/>
    <col min="13" max="13" width="13.33203125" style="339" customWidth="1"/>
    <col min="14" max="14" width="14.1640625" style="328" bestFit="1" customWidth="1"/>
    <col min="15" max="15" width="12.6640625" style="339" bestFit="1" customWidth="1"/>
    <col min="16" max="16" width="12.6640625" style="339" customWidth="1"/>
    <col min="17" max="17" width="12.33203125" style="328" customWidth="1"/>
    <col min="18" max="18" width="10.83203125" style="339" customWidth="1"/>
    <col min="19" max="19" width="13.83203125" style="328" bestFit="1" customWidth="1"/>
    <col min="20" max="20" width="12.6640625" style="339" customWidth="1"/>
    <col min="21" max="21" width="13.83203125" style="328" customWidth="1"/>
    <col min="22" max="22" width="10.83203125" style="328" customWidth="1"/>
    <col min="23" max="23" width="10.83203125" style="339" customWidth="1"/>
    <col min="24" max="24" width="10.83203125" style="328" customWidth="1"/>
    <col min="25" max="25" width="10.83203125" style="339" customWidth="1"/>
    <col min="26" max="26" width="11.83203125" style="328" customWidth="1"/>
    <col min="27" max="27" width="12.33203125" style="339" customWidth="1"/>
    <col min="28" max="28" width="12.33203125" style="328" customWidth="1"/>
    <col min="29" max="29" width="12.33203125" style="339" customWidth="1"/>
    <col min="30" max="30" width="12.33203125" style="328" customWidth="1"/>
    <col min="31" max="32" width="12.6640625" style="339" customWidth="1"/>
    <col min="33" max="33" width="12.33203125" style="328" customWidth="1"/>
    <col min="34" max="34" width="12" style="339" customWidth="1"/>
    <col min="35" max="35" width="13" style="328" customWidth="1"/>
    <col min="36" max="36" width="12.6640625" style="339" customWidth="1"/>
    <col min="37" max="37" width="12" style="328" customWidth="1"/>
    <col min="38" max="38" width="10.83203125" style="328" customWidth="1"/>
    <col min="39" max="39" width="10.83203125" style="339" customWidth="1"/>
    <col min="40" max="40" width="10.83203125" style="328" customWidth="1"/>
    <col min="41" max="41" width="10.83203125" style="339" customWidth="1"/>
    <col min="42" max="42" width="10.83203125" style="328" customWidth="1"/>
    <col min="43" max="43" width="10.83203125" style="339" customWidth="1"/>
    <col min="44" max="44" width="10.83203125" style="328" customWidth="1"/>
    <col min="45" max="45" width="10.83203125" style="339" customWidth="1"/>
    <col min="46" max="46" width="10.83203125" style="328" customWidth="1"/>
    <col min="47" max="48" width="10.83203125" style="339" customWidth="1"/>
    <col min="49" max="49" width="10.83203125" style="328" customWidth="1"/>
    <col min="50" max="52" width="10.83203125" style="327" customWidth="1"/>
    <col min="53" max="16384" width="9.33203125" style="327"/>
  </cols>
  <sheetData>
    <row r="1" spans="1:52" s="73" customFormat="1" ht="25.5">
      <c r="A1" s="274"/>
      <c r="B1" s="275" t="s">
        <v>896</v>
      </c>
      <c r="C1" s="276"/>
      <c r="D1" s="277"/>
      <c r="E1" s="278" t="s">
        <v>525</v>
      </c>
      <c r="F1" s="279" t="s">
        <v>525</v>
      </c>
      <c r="G1" s="280" t="s">
        <v>521</v>
      </c>
      <c r="H1" s="279"/>
      <c r="I1" s="280"/>
      <c r="J1" s="279"/>
      <c r="K1" s="505"/>
      <c r="L1" s="279"/>
      <c r="M1" s="505"/>
      <c r="N1" s="279"/>
      <c r="O1" s="281" t="s">
        <v>526</v>
      </c>
      <c r="P1" s="281"/>
      <c r="Q1" s="282" t="s">
        <v>685</v>
      </c>
      <c r="R1" s="281" t="s">
        <v>526</v>
      </c>
      <c r="S1" s="281" t="s">
        <v>526</v>
      </c>
      <c r="T1" s="281"/>
      <c r="U1" s="282" t="s">
        <v>685</v>
      </c>
      <c r="V1" s="281" t="s">
        <v>526</v>
      </c>
      <c r="W1" s="280" t="s">
        <v>522</v>
      </c>
      <c r="X1" s="279"/>
      <c r="Y1" s="280"/>
      <c r="Z1" s="279"/>
      <c r="AA1" s="505"/>
      <c r="AB1" s="279"/>
      <c r="AC1" s="280"/>
      <c r="AD1" s="279"/>
      <c r="AE1" s="281" t="s">
        <v>526</v>
      </c>
      <c r="AF1" s="281"/>
      <c r="AG1" s="282" t="s">
        <v>685</v>
      </c>
      <c r="AH1" s="281" t="s">
        <v>526</v>
      </c>
      <c r="AI1" s="281" t="s">
        <v>526</v>
      </c>
      <c r="AJ1" s="281"/>
      <c r="AK1" s="282" t="s">
        <v>685</v>
      </c>
      <c r="AL1" s="281" t="s">
        <v>526</v>
      </c>
      <c r="AM1" s="280" t="s">
        <v>524</v>
      </c>
      <c r="AN1" s="279"/>
      <c r="AO1" s="280"/>
      <c r="AP1" s="279"/>
      <c r="AQ1" s="280"/>
      <c r="AR1" s="279"/>
      <c r="AS1" s="280"/>
      <c r="AT1" s="279"/>
      <c r="AU1" s="281" t="s">
        <v>526</v>
      </c>
      <c r="AV1" s="283"/>
      <c r="AW1" s="281" t="s">
        <v>526</v>
      </c>
      <c r="AX1" s="283"/>
      <c r="AY1" s="284" t="s">
        <v>526</v>
      </c>
      <c r="AZ1" s="285"/>
    </row>
    <row r="2" spans="1:52" s="73" customFormat="1" ht="145.5" customHeight="1">
      <c r="A2" s="272"/>
      <c r="B2" s="286"/>
      <c r="C2" s="273" t="s">
        <v>527</v>
      </c>
      <c r="D2" s="287"/>
      <c r="E2" s="288" t="s">
        <v>444</v>
      </c>
      <c r="F2" s="289" t="s">
        <v>444</v>
      </c>
      <c r="G2" s="290" t="s">
        <v>528</v>
      </c>
      <c r="H2" s="291" t="s">
        <v>528</v>
      </c>
      <c r="I2" s="290" t="s">
        <v>529</v>
      </c>
      <c r="J2" s="291" t="s">
        <v>529</v>
      </c>
      <c r="K2" s="290" t="s">
        <v>530</v>
      </c>
      <c r="L2" s="291" t="s">
        <v>530</v>
      </c>
      <c r="M2" s="290" t="s">
        <v>531</v>
      </c>
      <c r="N2" s="291" t="s">
        <v>531</v>
      </c>
      <c r="O2" s="292" t="s">
        <v>532</v>
      </c>
      <c r="P2" s="636"/>
      <c r="Q2" s="293" t="s">
        <v>935</v>
      </c>
      <c r="R2" s="89" t="s">
        <v>558</v>
      </c>
      <c r="S2" s="294" t="s">
        <v>532</v>
      </c>
      <c r="T2" s="636"/>
      <c r="U2" s="293" t="s">
        <v>935</v>
      </c>
      <c r="V2" s="295" t="s">
        <v>558</v>
      </c>
      <c r="W2" s="290" t="s">
        <v>528</v>
      </c>
      <c r="X2" s="291" t="s">
        <v>528</v>
      </c>
      <c r="Y2" s="290" t="s">
        <v>529</v>
      </c>
      <c r="Z2" s="291" t="s">
        <v>529</v>
      </c>
      <c r="AA2" s="290" t="s">
        <v>530</v>
      </c>
      <c r="AB2" s="291" t="s">
        <v>530</v>
      </c>
      <c r="AC2" s="290" t="s">
        <v>531</v>
      </c>
      <c r="AD2" s="291" t="s">
        <v>531</v>
      </c>
      <c r="AE2" s="292" t="s">
        <v>532</v>
      </c>
      <c r="AF2" s="636"/>
      <c r="AG2" s="293" t="s">
        <v>935</v>
      </c>
      <c r="AH2" s="89" t="s">
        <v>558</v>
      </c>
      <c r="AI2" s="294" t="s">
        <v>532</v>
      </c>
      <c r="AJ2" s="636"/>
      <c r="AK2" s="293" t="s">
        <v>935</v>
      </c>
      <c r="AL2" s="296" t="s">
        <v>558</v>
      </c>
      <c r="AM2" s="290" t="s">
        <v>528</v>
      </c>
      <c r="AN2" s="291" t="s">
        <v>528</v>
      </c>
      <c r="AO2" s="290" t="s">
        <v>529</v>
      </c>
      <c r="AP2" s="291" t="s">
        <v>529</v>
      </c>
      <c r="AQ2" s="290" t="s">
        <v>530</v>
      </c>
      <c r="AR2" s="291" t="s">
        <v>530</v>
      </c>
      <c r="AS2" s="290" t="s">
        <v>531</v>
      </c>
      <c r="AT2" s="291" t="s">
        <v>531</v>
      </c>
      <c r="AU2" s="292" t="s">
        <v>532</v>
      </c>
      <c r="AV2" s="297" t="s">
        <v>558</v>
      </c>
      <c r="AW2" s="294" t="s">
        <v>532</v>
      </c>
      <c r="AX2" s="295" t="s">
        <v>558</v>
      </c>
      <c r="AY2" s="298" t="s">
        <v>418</v>
      </c>
      <c r="AZ2" s="299" t="s">
        <v>418</v>
      </c>
    </row>
    <row r="3" spans="1:52" s="161" customFormat="1">
      <c r="A3" s="300" t="s">
        <v>519</v>
      </c>
      <c r="B3" s="300" t="s">
        <v>516</v>
      </c>
      <c r="C3" s="301" t="s">
        <v>517</v>
      </c>
      <c r="D3" s="302" t="s">
        <v>518</v>
      </c>
      <c r="E3" s="303" t="s">
        <v>533</v>
      </c>
      <c r="F3" s="304" t="s">
        <v>533</v>
      </c>
      <c r="G3" s="305">
        <v>2007</v>
      </c>
      <c r="H3" s="306">
        <v>2008</v>
      </c>
      <c r="I3" s="305">
        <v>2007</v>
      </c>
      <c r="J3" s="306">
        <v>2008</v>
      </c>
      <c r="K3" s="305">
        <v>2007</v>
      </c>
      <c r="L3" s="306">
        <v>2008</v>
      </c>
      <c r="M3" s="305">
        <v>2007</v>
      </c>
      <c r="N3" s="306">
        <v>2008</v>
      </c>
      <c r="O3" s="307">
        <v>2007</v>
      </c>
      <c r="P3" s="637"/>
      <c r="Q3" s="306">
        <v>2007</v>
      </c>
      <c r="R3" s="308">
        <v>2007</v>
      </c>
      <c r="S3" s="309">
        <v>2008</v>
      </c>
      <c r="T3" s="637"/>
      <c r="U3" s="306">
        <v>2008</v>
      </c>
      <c r="V3" s="310">
        <v>2008</v>
      </c>
      <c r="W3" s="305">
        <v>2007</v>
      </c>
      <c r="X3" s="306">
        <v>2008</v>
      </c>
      <c r="Y3" s="305">
        <v>2007</v>
      </c>
      <c r="Z3" s="306">
        <v>2008</v>
      </c>
      <c r="AA3" s="305">
        <v>2007</v>
      </c>
      <c r="AB3" s="306">
        <v>2008</v>
      </c>
      <c r="AC3" s="305">
        <v>2007</v>
      </c>
      <c r="AD3" s="306">
        <v>2008</v>
      </c>
      <c r="AE3" s="307">
        <v>2007</v>
      </c>
      <c r="AF3" s="637"/>
      <c r="AG3" s="306">
        <v>2007</v>
      </c>
      <c r="AH3" s="311">
        <v>2007</v>
      </c>
      <c r="AI3" s="309">
        <v>2008</v>
      </c>
      <c r="AJ3" s="637"/>
      <c r="AK3" s="306">
        <v>2008</v>
      </c>
      <c r="AL3" s="312">
        <v>2008</v>
      </c>
      <c r="AM3" s="305">
        <v>2007</v>
      </c>
      <c r="AN3" s="306">
        <v>2008</v>
      </c>
      <c r="AO3" s="305">
        <v>2007</v>
      </c>
      <c r="AP3" s="306">
        <v>2008</v>
      </c>
      <c r="AQ3" s="305">
        <v>2007</v>
      </c>
      <c r="AR3" s="306">
        <v>2008</v>
      </c>
      <c r="AS3" s="305">
        <v>2007</v>
      </c>
      <c r="AT3" s="306">
        <v>2008</v>
      </c>
      <c r="AU3" s="307">
        <v>2007</v>
      </c>
      <c r="AV3" s="311">
        <v>2007</v>
      </c>
      <c r="AW3" s="309">
        <v>2008</v>
      </c>
      <c r="AX3" s="310">
        <v>2008</v>
      </c>
      <c r="AY3" s="313">
        <v>2007</v>
      </c>
      <c r="AZ3" s="310">
        <v>2008</v>
      </c>
    </row>
    <row r="4" spans="1:52" s="321" customFormat="1" ht="45" customHeight="1">
      <c r="A4" s="314" t="s">
        <v>519</v>
      </c>
      <c r="B4" s="314" t="s">
        <v>516</v>
      </c>
      <c r="C4" s="315" t="s">
        <v>520</v>
      </c>
      <c r="D4" s="316" t="s">
        <v>518</v>
      </c>
      <c r="E4" s="317" t="s">
        <v>454</v>
      </c>
      <c r="F4" s="317" t="s">
        <v>455</v>
      </c>
      <c r="G4" s="317" t="s">
        <v>534</v>
      </c>
      <c r="H4" s="317" t="s">
        <v>535</v>
      </c>
      <c r="I4" s="317" t="s">
        <v>536</v>
      </c>
      <c r="J4" s="317" t="s">
        <v>537</v>
      </c>
      <c r="K4" s="317" t="s">
        <v>538</v>
      </c>
      <c r="L4" s="317" t="s">
        <v>539</v>
      </c>
      <c r="M4" s="317" t="s">
        <v>540</v>
      </c>
      <c r="N4" s="317" t="s">
        <v>541</v>
      </c>
      <c r="O4" s="317" t="s">
        <v>456</v>
      </c>
      <c r="P4" s="317" t="s">
        <v>945</v>
      </c>
      <c r="Q4" s="317" t="s">
        <v>897</v>
      </c>
      <c r="R4" s="317" t="s">
        <v>463</v>
      </c>
      <c r="S4" s="317" t="s">
        <v>457</v>
      </c>
      <c r="T4" s="317" t="s">
        <v>946</v>
      </c>
      <c r="U4" s="317" t="s">
        <v>898</v>
      </c>
      <c r="V4" s="317" t="s">
        <v>464</v>
      </c>
      <c r="W4" s="317" t="s">
        <v>542</v>
      </c>
      <c r="X4" s="317" t="s">
        <v>543</v>
      </c>
      <c r="Y4" s="317" t="s">
        <v>544</v>
      </c>
      <c r="Z4" s="317" t="s">
        <v>545</v>
      </c>
      <c r="AA4" s="317" t="s">
        <v>546</v>
      </c>
      <c r="AB4" s="317" t="s">
        <v>547</v>
      </c>
      <c r="AC4" s="317" t="s">
        <v>548</v>
      </c>
      <c r="AD4" s="317" t="s">
        <v>549</v>
      </c>
      <c r="AE4" s="318" t="s">
        <v>451</v>
      </c>
      <c r="AF4" s="318" t="s">
        <v>947</v>
      </c>
      <c r="AG4" s="317" t="s">
        <v>899</v>
      </c>
      <c r="AH4" s="318" t="s">
        <v>452</v>
      </c>
      <c r="AI4" s="317" t="s">
        <v>458</v>
      </c>
      <c r="AJ4" s="317" t="s">
        <v>948</v>
      </c>
      <c r="AK4" s="317" t="s">
        <v>900</v>
      </c>
      <c r="AL4" s="317" t="s">
        <v>465</v>
      </c>
      <c r="AM4" s="317" t="s">
        <v>550</v>
      </c>
      <c r="AN4" s="317" t="s">
        <v>551</v>
      </c>
      <c r="AO4" s="317" t="s">
        <v>552</v>
      </c>
      <c r="AP4" s="317" t="s">
        <v>553</v>
      </c>
      <c r="AQ4" s="317" t="s">
        <v>554</v>
      </c>
      <c r="AR4" s="317" t="s">
        <v>555</v>
      </c>
      <c r="AS4" s="317" t="s">
        <v>556</v>
      </c>
      <c r="AT4" s="317" t="s">
        <v>557</v>
      </c>
      <c r="AU4" s="317" t="s">
        <v>459</v>
      </c>
      <c r="AV4" s="317" t="s">
        <v>461</v>
      </c>
      <c r="AW4" s="317" t="s">
        <v>460</v>
      </c>
      <c r="AX4" s="317" t="s">
        <v>462</v>
      </c>
      <c r="AY4" s="319" t="s">
        <v>468</v>
      </c>
      <c r="AZ4" s="320" t="s">
        <v>473</v>
      </c>
    </row>
    <row r="5" spans="1:52" s="96" customFormat="1">
      <c r="A5" s="91" t="s">
        <v>109</v>
      </c>
      <c r="B5" s="92" t="s">
        <v>110</v>
      </c>
      <c r="C5" s="218">
        <v>100858</v>
      </c>
      <c r="D5" s="93">
        <v>1</v>
      </c>
      <c r="E5" s="162" t="s">
        <v>442</v>
      </c>
      <c r="F5" s="163" t="s">
        <v>442</v>
      </c>
      <c r="G5" s="79"/>
      <c r="H5" s="322"/>
      <c r="I5" s="79">
        <v>241811</v>
      </c>
      <c r="J5" s="322">
        <v>246206</v>
      </c>
      <c r="K5" s="79">
        <v>61511</v>
      </c>
      <c r="L5" s="322">
        <v>58930</v>
      </c>
      <c r="M5" s="79">
        <v>266315</v>
      </c>
      <c r="N5" s="322">
        <v>272230</v>
      </c>
      <c r="O5" s="323">
        <f t="shared" ref="O5:O67" si="0">SUM(G5,I5,K5,M5)</f>
        <v>569637</v>
      </c>
      <c r="P5" s="638">
        <f>IF(Q5="—",0,O5)</f>
        <v>0</v>
      </c>
      <c r="Q5" s="639" t="s">
        <v>949</v>
      </c>
      <c r="R5" s="90">
        <f t="shared" ref="R5:R36" si="1">+O5/30</f>
        <v>18987.900000000001</v>
      </c>
      <c r="S5" s="324">
        <f t="shared" ref="S5:S67" si="2">SUM(H5,J5,L5,N5)</f>
        <v>577366</v>
      </c>
      <c r="T5" s="638">
        <f>IF(U5="—",0,S5)</f>
        <v>0</v>
      </c>
      <c r="U5" s="639" t="s">
        <v>949</v>
      </c>
      <c r="V5" s="80">
        <f t="shared" ref="V5:V36" si="3">+S5/30</f>
        <v>19245.533333333333</v>
      </c>
      <c r="W5" s="79"/>
      <c r="X5" s="322"/>
      <c r="Y5" s="79"/>
      <c r="Z5" s="322"/>
      <c r="AA5" s="79"/>
      <c r="AB5" s="322"/>
      <c r="AC5" s="79"/>
      <c r="AD5" s="322"/>
      <c r="AE5" s="323">
        <f t="shared" ref="AE5:AE67" si="4">SUM(W5,Y5,AA5,AC5)</f>
        <v>0</v>
      </c>
      <c r="AF5" s="638">
        <f>IF(AG5="—",0,AE5)</f>
        <v>0</v>
      </c>
      <c r="AG5" s="322"/>
      <c r="AH5" s="90">
        <f t="shared" ref="AH5:AH67" si="5">+AE5/900</f>
        <v>0</v>
      </c>
      <c r="AI5" s="80">
        <f t="shared" ref="AI5:AI67" si="6">SUM(X5,Z5,AB5,AD5)</f>
        <v>0</v>
      </c>
      <c r="AJ5" s="638">
        <f>IF(AK5="—",0,AI5)</f>
        <v>0</v>
      </c>
      <c r="AK5" s="322"/>
      <c r="AL5" s="80">
        <f t="shared" ref="AL5:AL67" si="7">+AI5/900</f>
        <v>0</v>
      </c>
      <c r="AM5" s="79"/>
      <c r="AN5" s="322"/>
      <c r="AO5" s="79">
        <v>30870</v>
      </c>
      <c r="AP5" s="322">
        <v>32245</v>
      </c>
      <c r="AQ5" s="79">
        <v>15760</v>
      </c>
      <c r="AR5" s="322">
        <v>16517</v>
      </c>
      <c r="AS5" s="79">
        <v>33144</v>
      </c>
      <c r="AT5" s="322">
        <v>35059</v>
      </c>
      <c r="AU5" s="325">
        <f t="shared" ref="AU5:AU67" si="8">SUM(AM5,AO5,AQ5,AS5)</f>
        <v>79774</v>
      </c>
      <c r="AV5" s="90">
        <f t="shared" ref="AV5:AV36" si="9">+AU5/24</f>
        <v>3323.9166666666665</v>
      </c>
      <c r="AW5" s="324">
        <f t="shared" ref="AW5:AW67" si="10">SUM(AN5,AP5,AR5,AT5)</f>
        <v>83821</v>
      </c>
      <c r="AX5" s="80">
        <f t="shared" ref="AX5:AX36" si="11">+AW5/24</f>
        <v>3492.5416666666665</v>
      </c>
      <c r="AY5" s="326">
        <f t="shared" ref="AY5:AY67" si="12">SUM(R5,AH5,AV5)</f>
        <v>22311.816666666669</v>
      </c>
      <c r="AZ5" s="80">
        <f t="shared" ref="AZ5:AZ67" si="13">SUM(V5,AL5,AX5)</f>
        <v>22738.075000000001</v>
      </c>
    </row>
    <row r="6" spans="1:52" s="96" customFormat="1">
      <c r="A6" s="91" t="s">
        <v>109</v>
      </c>
      <c r="B6" s="92" t="s">
        <v>111</v>
      </c>
      <c r="C6" s="218">
        <v>100751</v>
      </c>
      <c r="D6" s="93">
        <v>1</v>
      </c>
      <c r="E6" s="162" t="s">
        <v>442</v>
      </c>
      <c r="F6" s="163" t="s">
        <v>442</v>
      </c>
      <c r="G6" s="79"/>
      <c r="H6" s="322"/>
      <c r="I6" s="79">
        <v>249335</v>
      </c>
      <c r="J6" s="322">
        <v>269582</v>
      </c>
      <c r="K6" s="79">
        <v>58803</v>
      </c>
      <c r="L6" s="322">
        <v>63093</v>
      </c>
      <c r="M6" s="79">
        <v>285548</v>
      </c>
      <c r="N6" s="322">
        <v>303425</v>
      </c>
      <c r="O6" s="323">
        <f t="shared" si="0"/>
        <v>593686</v>
      </c>
      <c r="P6" s="638">
        <f t="shared" ref="P6:P68" si="14">IF(Q6="—",0,O6)</f>
        <v>0</v>
      </c>
      <c r="Q6" s="639" t="s">
        <v>949</v>
      </c>
      <c r="R6" s="90">
        <f t="shared" si="1"/>
        <v>19789.533333333333</v>
      </c>
      <c r="S6" s="324">
        <f t="shared" si="2"/>
        <v>636100</v>
      </c>
      <c r="T6" s="638">
        <f t="shared" ref="T6:T68" si="15">IF(U6="—",0,S6)</f>
        <v>0</v>
      </c>
      <c r="U6" s="639" t="s">
        <v>949</v>
      </c>
      <c r="V6" s="80">
        <f t="shared" si="3"/>
        <v>21203.333333333332</v>
      </c>
      <c r="W6" s="79"/>
      <c r="X6" s="322"/>
      <c r="Y6" s="79"/>
      <c r="Z6" s="322"/>
      <c r="AA6" s="79"/>
      <c r="AB6" s="322"/>
      <c r="AC6" s="79"/>
      <c r="AD6" s="322"/>
      <c r="AE6" s="323">
        <f t="shared" si="4"/>
        <v>0</v>
      </c>
      <c r="AF6" s="638">
        <f t="shared" ref="AF6:AF68" si="16">IF(AG6="—",0,AE6)</f>
        <v>0</v>
      </c>
      <c r="AG6" s="322"/>
      <c r="AH6" s="90">
        <f t="shared" si="5"/>
        <v>0</v>
      </c>
      <c r="AI6" s="80">
        <f t="shared" si="6"/>
        <v>0</v>
      </c>
      <c r="AJ6" s="638">
        <f t="shared" ref="AJ6:AJ68" si="17">IF(AK6="—",0,AI6)</f>
        <v>0</v>
      </c>
      <c r="AK6" s="322"/>
      <c r="AL6" s="80">
        <f t="shared" si="7"/>
        <v>0</v>
      </c>
      <c r="AM6" s="79"/>
      <c r="AN6" s="322"/>
      <c r="AO6" s="79">
        <v>37394</v>
      </c>
      <c r="AP6" s="322">
        <v>38044</v>
      </c>
      <c r="AQ6" s="79">
        <v>13654</v>
      </c>
      <c r="AR6" s="322">
        <v>12411</v>
      </c>
      <c r="AS6" s="79">
        <v>39544</v>
      </c>
      <c r="AT6" s="322">
        <v>38134</v>
      </c>
      <c r="AU6" s="325">
        <f t="shared" si="8"/>
        <v>90592</v>
      </c>
      <c r="AV6" s="90">
        <f t="shared" si="9"/>
        <v>3774.6666666666665</v>
      </c>
      <c r="AW6" s="324">
        <f t="shared" si="10"/>
        <v>88589</v>
      </c>
      <c r="AX6" s="80">
        <f t="shared" si="11"/>
        <v>3691.2083333333335</v>
      </c>
      <c r="AY6" s="326">
        <f t="shared" si="12"/>
        <v>23564.2</v>
      </c>
      <c r="AZ6" s="80">
        <f t="shared" si="13"/>
        <v>24894.541666666664</v>
      </c>
    </row>
    <row r="7" spans="1:52" s="96" customFormat="1">
      <c r="A7" s="91" t="s">
        <v>109</v>
      </c>
      <c r="B7" s="199" t="s">
        <v>112</v>
      </c>
      <c r="C7" s="218">
        <v>100663</v>
      </c>
      <c r="D7" s="93">
        <v>1</v>
      </c>
      <c r="E7" s="162" t="s">
        <v>442</v>
      </c>
      <c r="F7" s="163" t="s">
        <v>442</v>
      </c>
      <c r="G7" s="79"/>
      <c r="H7" s="322"/>
      <c r="I7" s="79">
        <v>110233</v>
      </c>
      <c r="J7" s="322">
        <v>106612</v>
      </c>
      <c r="K7" s="79">
        <v>38486</v>
      </c>
      <c r="L7" s="322">
        <v>32388</v>
      </c>
      <c r="M7" s="79">
        <v>118058</v>
      </c>
      <c r="N7" s="322">
        <v>112683</v>
      </c>
      <c r="O7" s="323">
        <f t="shared" si="0"/>
        <v>266777</v>
      </c>
      <c r="P7" s="638">
        <f t="shared" si="14"/>
        <v>0</v>
      </c>
      <c r="Q7" s="639" t="s">
        <v>949</v>
      </c>
      <c r="R7" s="90">
        <f t="shared" si="1"/>
        <v>8892.5666666666675</v>
      </c>
      <c r="S7" s="324">
        <f t="shared" si="2"/>
        <v>251683</v>
      </c>
      <c r="T7" s="638">
        <f t="shared" si="15"/>
        <v>0</v>
      </c>
      <c r="U7" s="639" t="s">
        <v>949</v>
      </c>
      <c r="V7" s="80">
        <f t="shared" si="3"/>
        <v>8389.4333333333325</v>
      </c>
      <c r="W7" s="79"/>
      <c r="X7" s="322"/>
      <c r="Y7" s="79"/>
      <c r="Z7" s="322"/>
      <c r="AA7" s="79"/>
      <c r="AB7" s="322"/>
      <c r="AC7" s="79"/>
      <c r="AD7" s="322"/>
      <c r="AE7" s="323">
        <f t="shared" si="4"/>
        <v>0</v>
      </c>
      <c r="AF7" s="638">
        <f t="shared" si="16"/>
        <v>0</v>
      </c>
      <c r="AG7" s="322"/>
      <c r="AH7" s="90">
        <f t="shared" si="5"/>
        <v>0</v>
      </c>
      <c r="AI7" s="80">
        <f t="shared" si="6"/>
        <v>0</v>
      </c>
      <c r="AJ7" s="638">
        <f t="shared" si="17"/>
        <v>0</v>
      </c>
      <c r="AK7" s="322"/>
      <c r="AL7" s="80">
        <f t="shared" si="7"/>
        <v>0</v>
      </c>
      <c r="AM7" s="79"/>
      <c r="AN7" s="322"/>
      <c r="AO7" s="79">
        <v>15555</v>
      </c>
      <c r="AP7" s="322">
        <v>15721</v>
      </c>
      <c r="AQ7" s="79">
        <v>10710</v>
      </c>
      <c r="AR7" s="322">
        <v>11153</v>
      </c>
      <c r="AS7" s="79">
        <v>15804</v>
      </c>
      <c r="AT7" s="322">
        <v>16398</v>
      </c>
      <c r="AU7" s="325">
        <f t="shared" si="8"/>
        <v>42069</v>
      </c>
      <c r="AV7" s="90">
        <f t="shared" si="9"/>
        <v>1752.875</v>
      </c>
      <c r="AW7" s="324">
        <f t="shared" si="10"/>
        <v>43272</v>
      </c>
      <c r="AX7" s="80">
        <f t="shared" si="11"/>
        <v>1803</v>
      </c>
      <c r="AY7" s="326">
        <f t="shared" si="12"/>
        <v>10645.441666666668</v>
      </c>
      <c r="AZ7" s="80">
        <f t="shared" si="13"/>
        <v>10192.433333333332</v>
      </c>
    </row>
    <row r="8" spans="1:52" s="96" customFormat="1">
      <c r="A8" s="91" t="s">
        <v>109</v>
      </c>
      <c r="B8" s="199" t="s">
        <v>113</v>
      </c>
      <c r="C8" s="218">
        <v>100706</v>
      </c>
      <c r="D8" s="93">
        <v>2</v>
      </c>
      <c r="E8" s="162" t="s">
        <v>442</v>
      </c>
      <c r="F8" s="163" t="s">
        <v>442</v>
      </c>
      <c r="G8" s="79"/>
      <c r="H8" s="322"/>
      <c r="I8" s="79">
        <v>61648</v>
      </c>
      <c r="J8" s="322">
        <v>62323</v>
      </c>
      <c r="K8" s="79">
        <v>17856</v>
      </c>
      <c r="L8" s="322">
        <v>17644</v>
      </c>
      <c r="M8" s="79">
        <v>67154</v>
      </c>
      <c r="N8" s="322">
        <v>69817</v>
      </c>
      <c r="O8" s="323">
        <f t="shared" si="0"/>
        <v>146658</v>
      </c>
      <c r="P8" s="638">
        <f t="shared" si="14"/>
        <v>0</v>
      </c>
      <c r="Q8" s="639" t="s">
        <v>949</v>
      </c>
      <c r="R8" s="90">
        <f t="shared" si="1"/>
        <v>4888.6000000000004</v>
      </c>
      <c r="S8" s="324">
        <f t="shared" si="2"/>
        <v>149784</v>
      </c>
      <c r="T8" s="638">
        <f t="shared" si="15"/>
        <v>0</v>
      </c>
      <c r="U8" s="639" t="s">
        <v>949</v>
      </c>
      <c r="V8" s="80">
        <f t="shared" si="3"/>
        <v>4992.8</v>
      </c>
      <c r="W8" s="79"/>
      <c r="X8" s="322"/>
      <c r="Y8" s="79"/>
      <c r="Z8" s="322"/>
      <c r="AA8" s="79"/>
      <c r="AB8" s="322"/>
      <c r="AC8" s="79"/>
      <c r="AD8" s="322"/>
      <c r="AE8" s="323">
        <f t="shared" si="4"/>
        <v>0</v>
      </c>
      <c r="AF8" s="638">
        <f t="shared" si="16"/>
        <v>0</v>
      </c>
      <c r="AG8" s="322"/>
      <c r="AH8" s="90">
        <f t="shared" si="5"/>
        <v>0</v>
      </c>
      <c r="AI8" s="80">
        <f t="shared" si="6"/>
        <v>0</v>
      </c>
      <c r="AJ8" s="638">
        <f t="shared" si="17"/>
        <v>0</v>
      </c>
      <c r="AK8" s="322"/>
      <c r="AL8" s="80">
        <f t="shared" si="7"/>
        <v>0</v>
      </c>
      <c r="AM8" s="79"/>
      <c r="AN8" s="322"/>
      <c r="AO8" s="79">
        <v>7561</v>
      </c>
      <c r="AP8" s="322">
        <v>8068</v>
      </c>
      <c r="AQ8" s="79">
        <v>4241</v>
      </c>
      <c r="AR8" s="322">
        <v>4341</v>
      </c>
      <c r="AS8" s="79">
        <v>8894</v>
      </c>
      <c r="AT8" s="322">
        <v>8837</v>
      </c>
      <c r="AU8" s="325">
        <f t="shared" si="8"/>
        <v>20696</v>
      </c>
      <c r="AV8" s="90">
        <f t="shared" si="9"/>
        <v>862.33333333333337</v>
      </c>
      <c r="AW8" s="324">
        <f t="shared" si="10"/>
        <v>21246</v>
      </c>
      <c r="AX8" s="80">
        <f t="shared" si="11"/>
        <v>885.25</v>
      </c>
      <c r="AY8" s="326">
        <f t="shared" si="12"/>
        <v>5750.9333333333334</v>
      </c>
      <c r="AZ8" s="80">
        <f t="shared" si="13"/>
        <v>5878.05</v>
      </c>
    </row>
    <row r="9" spans="1:52" s="96" customFormat="1">
      <c r="A9" s="91" t="s">
        <v>109</v>
      </c>
      <c r="B9" s="92" t="s">
        <v>114</v>
      </c>
      <c r="C9" s="218">
        <v>100654</v>
      </c>
      <c r="D9" s="106">
        <v>3</v>
      </c>
      <c r="E9" s="162" t="s">
        <v>442</v>
      </c>
      <c r="F9" s="163" t="s">
        <v>442</v>
      </c>
      <c r="G9" s="79"/>
      <c r="H9" s="322"/>
      <c r="I9" s="79">
        <v>64435</v>
      </c>
      <c r="J9" s="322">
        <v>61417</v>
      </c>
      <c r="K9" s="79">
        <v>11340</v>
      </c>
      <c r="L9" s="322">
        <v>9079</v>
      </c>
      <c r="M9" s="79">
        <v>67615</v>
      </c>
      <c r="N9" s="322">
        <v>64735</v>
      </c>
      <c r="O9" s="323">
        <f t="shared" si="0"/>
        <v>143390</v>
      </c>
      <c r="P9" s="638">
        <f t="shared" si="14"/>
        <v>0</v>
      </c>
      <c r="Q9" s="639" t="s">
        <v>949</v>
      </c>
      <c r="R9" s="90">
        <f t="shared" si="1"/>
        <v>4779.666666666667</v>
      </c>
      <c r="S9" s="324">
        <f t="shared" si="2"/>
        <v>135231</v>
      </c>
      <c r="T9" s="638">
        <f t="shared" si="15"/>
        <v>0</v>
      </c>
      <c r="U9" s="639" t="s">
        <v>949</v>
      </c>
      <c r="V9" s="80">
        <f t="shared" si="3"/>
        <v>4507.7</v>
      </c>
      <c r="W9" s="79"/>
      <c r="X9" s="322"/>
      <c r="Y9" s="79"/>
      <c r="Z9" s="322"/>
      <c r="AA9" s="79"/>
      <c r="AB9" s="322"/>
      <c r="AC9" s="79"/>
      <c r="AD9" s="322"/>
      <c r="AE9" s="323">
        <f t="shared" si="4"/>
        <v>0</v>
      </c>
      <c r="AF9" s="638">
        <f t="shared" si="16"/>
        <v>0</v>
      </c>
      <c r="AG9" s="322"/>
      <c r="AH9" s="90">
        <f t="shared" si="5"/>
        <v>0</v>
      </c>
      <c r="AI9" s="80">
        <f t="shared" si="6"/>
        <v>0</v>
      </c>
      <c r="AJ9" s="638">
        <f t="shared" si="17"/>
        <v>0</v>
      </c>
      <c r="AK9" s="322"/>
      <c r="AL9" s="80">
        <f t="shared" si="7"/>
        <v>0</v>
      </c>
      <c r="AM9" s="79"/>
      <c r="AN9" s="322"/>
      <c r="AO9" s="79">
        <v>7707</v>
      </c>
      <c r="AP9" s="322">
        <v>6964</v>
      </c>
      <c r="AQ9" s="79">
        <v>4017</v>
      </c>
      <c r="AR9" s="322">
        <v>3804</v>
      </c>
      <c r="AS9" s="79">
        <v>7014</v>
      </c>
      <c r="AT9" s="322">
        <v>6148</v>
      </c>
      <c r="AU9" s="325">
        <f t="shared" si="8"/>
        <v>18738</v>
      </c>
      <c r="AV9" s="90">
        <f t="shared" si="9"/>
        <v>780.75</v>
      </c>
      <c r="AW9" s="324">
        <f t="shared" si="10"/>
        <v>16916</v>
      </c>
      <c r="AX9" s="80">
        <f t="shared" si="11"/>
        <v>704.83333333333337</v>
      </c>
      <c r="AY9" s="326">
        <f t="shared" si="12"/>
        <v>5560.416666666667</v>
      </c>
      <c r="AZ9" s="80">
        <f t="shared" si="13"/>
        <v>5212.5333333333328</v>
      </c>
    </row>
    <row r="10" spans="1:52" s="96" customFormat="1">
      <c r="A10" s="91" t="s">
        <v>109</v>
      </c>
      <c r="B10" s="92" t="s">
        <v>115</v>
      </c>
      <c r="C10" s="218">
        <v>101480</v>
      </c>
      <c r="D10" s="93">
        <v>3</v>
      </c>
      <c r="E10" s="162" t="s">
        <v>442</v>
      </c>
      <c r="F10" s="163" t="s">
        <v>442</v>
      </c>
      <c r="G10" s="79"/>
      <c r="H10" s="322"/>
      <c r="I10" s="79">
        <v>82767</v>
      </c>
      <c r="J10" s="322">
        <v>86108</v>
      </c>
      <c r="K10" s="79">
        <v>23636</v>
      </c>
      <c r="L10" s="322">
        <v>24175</v>
      </c>
      <c r="M10" s="79">
        <v>91859</v>
      </c>
      <c r="N10" s="322">
        <v>95212</v>
      </c>
      <c r="O10" s="323">
        <f t="shared" si="0"/>
        <v>198262</v>
      </c>
      <c r="P10" s="638">
        <f t="shared" si="14"/>
        <v>0</v>
      </c>
      <c r="Q10" s="639" t="s">
        <v>949</v>
      </c>
      <c r="R10" s="90">
        <f t="shared" si="1"/>
        <v>6608.7333333333336</v>
      </c>
      <c r="S10" s="324">
        <f t="shared" si="2"/>
        <v>205495</v>
      </c>
      <c r="T10" s="638">
        <f t="shared" si="15"/>
        <v>0</v>
      </c>
      <c r="U10" s="639" t="s">
        <v>949</v>
      </c>
      <c r="V10" s="80">
        <f t="shared" si="3"/>
        <v>6849.833333333333</v>
      </c>
      <c r="W10" s="79"/>
      <c r="X10" s="322"/>
      <c r="Y10" s="79"/>
      <c r="Z10" s="322"/>
      <c r="AA10" s="79"/>
      <c r="AB10" s="322"/>
      <c r="AC10" s="79"/>
      <c r="AD10" s="322"/>
      <c r="AE10" s="323">
        <f t="shared" si="4"/>
        <v>0</v>
      </c>
      <c r="AF10" s="638">
        <f t="shared" si="16"/>
        <v>0</v>
      </c>
      <c r="AG10" s="322"/>
      <c r="AH10" s="90">
        <f t="shared" si="5"/>
        <v>0</v>
      </c>
      <c r="AI10" s="80">
        <f t="shared" si="6"/>
        <v>0</v>
      </c>
      <c r="AJ10" s="638">
        <f t="shared" si="17"/>
        <v>0</v>
      </c>
      <c r="AK10" s="322"/>
      <c r="AL10" s="80">
        <f t="shared" si="7"/>
        <v>0</v>
      </c>
      <c r="AM10" s="79"/>
      <c r="AN10" s="322"/>
      <c r="AO10" s="79">
        <v>8573</v>
      </c>
      <c r="AP10" s="322">
        <v>8244</v>
      </c>
      <c r="AQ10" s="79">
        <v>6762</v>
      </c>
      <c r="AR10" s="322">
        <v>6629</v>
      </c>
      <c r="AS10" s="79">
        <v>8402</v>
      </c>
      <c r="AT10" s="322">
        <v>6879</v>
      </c>
      <c r="AU10" s="325">
        <f t="shared" si="8"/>
        <v>23737</v>
      </c>
      <c r="AV10" s="90">
        <f t="shared" si="9"/>
        <v>989.04166666666663</v>
      </c>
      <c r="AW10" s="324">
        <f t="shared" si="10"/>
        <v>21752</v>
      </c>
      <c r="AX10" s="80">
        <f t="shared" si="11"/>
        <v>906.33333333333337</v>
      </c>
      <c r="AY10" s="326">
        <f t="shared" si="12"/>
        <v>7597.7750000000005</v>
      </c>
      <c r="AZ10" s="80">
        <f t="shared" si="13"/>
        <v>7756.1666666666661</v>
      </c>
    </row>
    <row r="11" spans="1:52" s="96" customFormat="1">
      <c r="A11" s="91" t="s">
        <v>109</v>
      </c>
      <c r="B11" s="92" t="s">
        <v>117</v>
      </c>
      <c r="C11" s="218">
        <v>102094</v>
      </c>
      <c r="D11" s="93">
        <v>3</v>
      </c>
      <c r="E11" s="162" t="s">
        <v>442</v>
      </c>
      <c r="F11" s="163" t="s">
        <v>442</v>
      </c>
      <c r="G11" s="79"/>
      <c r="H11" s="322"/>
      <c r="I11" s="79">
        <v>103330</v>
      </c>
      <c r="J11" s="322">
        <v>107967</v>
      </c>
      <c r="K11" s="79">
        <v>26579</v>
      </c>
      <c r="L11" s="322">
        <v>29063</v>
      </c>
      <c r="M11" s="79">
        <v>116715</v>
      </c>
      <c r="N11" s="322">
        <v>121086</v>
      </c>
      <c r="O11" s="323">
        <f t="shared" si="0"/>
        <v>246624</v>
      </c>
      <c r="P11" s="638">
        <f t="shared" si="14"/>
        <v>0</v>
      </c>
      <c r="Q11" s="639" t="s">
        <v>949</v>
      </c>
      <c r="R11" s="90">
        <f t="shared" si="1"/>
        <v>8220.7999999999993</v>
      </c>
      <c r="S11" s="324">
        <f t="shared" si="2"/>
        <v>258116</v>
      </c>
      <c r="T11" s="638">
        <f t="shared" si="15"/>
        <v>0</v>
      </c>
      <c r="U11" s="639" t="s">
        <v>949</v>
      </c>
      <c r="V11" s="80">
        <f t="shared" si="3"/>
        <v>8603.8666666666668</v>
      </c>
      <c r="W11" s="79"/>
      <c r="X11" s="322"/>
      <c r="Y11" s="79"/>
      <c r="Z11" s="322"/>
      <c r="AA11" s="79"/>
      <c r="AB11" s="322"/>
      <c r="AC11" s="79"/>
      <c r="AD11" s="322"/>
      <c r="AE11" s="323">
        <f t="shared" si="4"/>
        <v>0</v>
      </c>
      <c r="AF11" s="638">
        <f t="shared" si="16"/>
        <v>0</v>
      </c>
      <c r="AG11" s="322"/>
      <c r="AH11" s="90">
        <f t="shared" si="5"/>
        <v>0</v>
      </c>
      <c r="AI11" s="80">
        <f t="shared" si="6"/>
        <v>0</v>
      </c>
      <c r="AJ11" s="638">
        <f t="shared" si="17"/>
        <v>0</v>
      </c>
      <c r="AK11" s="322"/>
      <c r="AL11" s="80">
        <f t="shared" si="7"/>
        <v>0</v>
      </c>
      <c r="AM11" s="79"/>
      <c r="AN11" s="322"/>
      <c r="AO11" s="79">
        <v>9555</v>
      </c>
      <c r="AP11" s="322">
        <v>8213</v>
      </c>
      <c r="AQ11" s="79">
        <v>6035</v>
      </c>
      <c r="AR11" s="322">
        <v>5188</v>
      </c>
      <c r="AS11" s="79">
        <v>9085</v>
      </c>
      <c r="AT11" s="322">
        <v>7729</v>
      </c>
      <c r="AU11" s="325">
        <f t="shared" si="8"/>
        <v>24675</v>
      </c>
      <c r="AV11" s="90">
        <f t="shared" si="9"/>
        <v>1028.125</v>
      </c>
      <c r="AW11" s="324">
        <f t="shared" si="10"/>
        <v>21130</v>
      </c>
      <c r="AX11" s="80">
        <f t="shared" si="11"/>
        <v>880.41666666666663</v>
      </c>
      <c r="AY11" s="326">
        <f t="shared" si="12"/>
        <v>9248.9249999999993</v>
      </c>
      <c r="AZ11" s="80">
        <f t="shared" si="13"/>
        <v>9484.2833333333328</v>
      </c>
    </row>
    <row r="12" spans="1:52" s="96" customFormat="1">
      <c r="A12" s="91" t="s">
        <v>109</v>
      </c>
      <c r="B12" s="363" t="s">
        <v>118</v>
      </c>
      <c r="C12" s="218">
        <v>100724</v>
      </c>
      <c r="D12" s="93">
        <v>4</v>
      </c>
      <c r="E12" s="162" t="s">
        <v>442</v>
      </c>
      <c r="F12" s="163" t="s">
        <v>442</v>
      </c>
      <c r="G12" s="79"/>
      <c r="H12" s="322"/>
      <c r="I12" s="79">
        <v>58593</v>
      </c>
      <c r="J12" s="322">
        <v>62082</v>
      </c>
      <c r="K12" s="79">
        <v>12139</v>
      </c>
      <c r="L12" s="322">
        <v>13211</v>
      </c>
      <c r="M12" s="79">
        <v>65793</v>
      </c>
      <c r="N12" s="322">
        <v>65251</v>
      </c>
      <c r="O12" s="323">
        <f t="shared" si="0"/>
        <v>136525</v>
      </c>
      <c r="P12" s="638">
        <f t="shared" si="14"/>
        <v>0</v>
      </c>
      <c r="Q12" s="639" t="s">
        <v>949</v>
      </c>
      <c r="R12" s="90">
        <f t="shared" si="1"/>
        <v>4550.833333333333</v>
      </c>
      <c r="S12" s="324">
        <f t="shared" si="2"/>
        <v>140544</v>
      </c>
      <c r="T12" s="638">
        <f t="shared" si="15"/>
        <v>0</v>
      </c>
      <c r="U12" s="639" t="s">
        <v>949</v>
      </c>
      <c r="V12" s="80">
        <f t="shared" si="3"/>
        <v>4684.8</v>
      </c>
      <c r="W12" s="79"/>
      <c r="X12" s="322"/>
      <c r="Y12" s="79"/>
      <c r="Z12" s="322"/>
      <c r="AA12" s="79"/>
      <c r="AB12" s="322"/>
      <c r="AC12" s="79"/>
      <c r="AD12" s="322"/>
      <c r="AE12" s="323">
        <f t="shared" si="4"/>
        <v>0</v>
      </c>
      <c r="AF12" s="638">
        <f t="shared" si="16"/>
        <v>0</v>
      </c>
      <c r="AG12" s="322"/>
      <c r="AH12" s="90">
        <f t="shared" si="5"/>
        <v>0</v>
      </c>
      <c r="AI12" s="80">
        <f t="shared" si="6"/>
        <v>0</v>
      </c>
      <c r="AJ12" s="638">
        <f t="shared" si="17"/>
        <v>0</v>
      </c>
      <c r="AK12" s="322"/>
      <c r="AL12" s="80">
        <f t="shared" si="7"/>
        <v>0</v>
      </c>
      <c r="AM12" s="79"/>
      <c r="AN12" s="322"/>
      <c r="AO12" s="79">
        <v>6295</v>
      </c>
      <c r="AP12" s="322">
        <v>6574</v>
      </c>
      <c r="AQ12" s="79">
        <v>4626</v>
      </c>
      <c r="AR12" s="322">
        <v>4821</v>
      </c>
      <c r="AS12" s="79">
        <v>6256</v>
      </c>
      <c r="AT12" s="322">
        <v>5921</v>
      </c>
      <c r="AU12" s="325">
        <f t="shared" si="8"/>
        <v>17177</v>
      </c>
      <c r="AV12" s="90">
        <f t="shared" si="9"/>
        <v>715.70833333333337</v>
      </c>
      <c r="AW12" s="324">
        <f t="shared" si="10"/>
        <v>17316</v>
      </c>
      <c r="AX12" s="80">
        <f t="shared" si="11"/>
        <v>721.5</v>
      </c>
      <c r="AY12" s="326">
        <f t="shared" si="12"/>
        <v>5266.5416666666661</v>
      </c>
      <c r="AZ12" s="80">
        <f t="shared" si="13"/>
        <v>5406.3</v>
      </c>
    </row>
    <row r="13" spans="1:52" s="96" customFormat="1">
      <c r="A13" s="91" t="s">
        <v>109</v>
      </c>
      <c r="B13" s="92" t="s">
        <v>119</v>
      </c>
      <c r="C13" s="218">
        <v>100830</v>
      </c>
      <c r="D13" s="93">
        <v>4</v>
      </c>
      <c r="E13" s="162" t="s">
        <v>442</v>
      </c>
      <c r="F13" s="163" t="s">
        <v>442</v>
      </c>
      <c r="G13" s="79"/>
      <c r="H13" s="322"/>
      <c r="I13" s="79">
        <v>45309</v>
      </c>
      <c r="J13" s="322">
        <v>46131</v>
      </c>
      <c r="K13" s="79">
        <v>16266</v>
      </c>
      <c r="L13" s="322">
        <v>16461</v>
      </c>
      <c r="M13" s="79">
        <v>49076</v>
      </c>
      <c r="N13" s="322">
        <v>51167</v>
      </c>
      <c r="O13" s="323">
        <f t="shared" si="0"/>
        <v>110651</v>
      </c>
      <c r="P13" s="638">
        <f t="shared" si="14"/>
        <v>0</v>
      </c>
      <c r="Q13" s="639" t="s">
        <v>949</v>
      </c>
      <c r="R13" s="90">
        <f t="shared" si="1"/>
        <v>3688.3666666666668</v>
      </c>
      <c r="S13" s="324">
        <f t="shared" si="2"/>
        <v>113759</v>
      </c>
      <c r="T13" s="638">
        <f t="shared" si="15"/>
        <v>0</v>
      </c>
      <c r="U13" s="639" t="s">
        <v>949</v>
      </c>
      <c r="V13" s="80">
        <f t="shared" si="3"/>
        <v>3791.9666666666667</v>
      </c>
      <c r="W13" s="79"/>
      <c r="X13" s="322"/>
      <c r="Y13" s="79"/>
      <c r="Z13" s="322"/>
      <c r="AA13" s="79"/>
      <c r="AB13" s="322"/>
      <c r="AC13" s="79"/>
      <c r="AD13" s="322"/>
      <c r="AE13" s="323">
        <f t="shared" si="4"/>
        <v>0</v>
      </c>
      <c r="AF13" s="638">
        <f t="shared" si="16"/>
        <v>0</v>
      </c>
      <c r="AG13" s="322"/>
      <c r="AH13" s="90">
        <f t="shared" si="5"/>
        <v>0</v>
      </c>
      <c r="AI13" s="80">
        <f t="shared" si="6"/>
        <v>0</v>
      </c>
      <c r="AJ13" s="638">
        <f t="shared" si="17"/>
        <v>0</v>
      </c>
      <c r="AK13" s="322"/>
      <c r="AL13" s="80">
        <f t="shared" si="7"/>
        <v>0</v>
      </c>
      <c r="AM13" s="79"/>
      <c r="AN13" s="322"/>
      <c r="AO13" s="79">
        <v>4684</v>
      </c>
      <c r="AP13" s="322">
        <v>4918</v>
      </c>
      <c r="AQ13" s="79">
        <v>3153</v>
      </c>
      <c r="AR13" s="322">
        <v>3053</v>
      </c>
      <c r="AS13" s="79">
        <v>4955</v>
      </c>
      <c r="AT13" s="322">
        <v>5353</v>
      </c>
      <c r="AU13" s="325">
        <f t="shared" si="8"/>
        <v>12792</v>
      </c>
      <c r="AV13" s="90">
        <f t="shared" si="9"/>
        <v>533</v>
      </c>
      <c r="AW13" s="324">
        <f t="shared" si="10"/>
        <v>13324</v>
      </c>
      <c r="AX13" s="80">
        <f t="shared" si="11"/>
        <v>555.16666666666663</v>
      </c>
      <c r="AY13" s="326">
        <f t="shared" si="12"/>
        <v>4221.3666666666668</v>
      </c>
      <c r="AZ13" s="80">
        <f t="shared" si="13"/>
        <v>4347.1333333333332</v>
      </c>
    </row>
    <row r="14" spans="1:52" s="96" customFormat="1">
      <c r="A14" s="91" t="s">
        <v>109</v>
      </c>
      <c r="B14" s="199" t="s">
        <v>116</v>
      </c>
      <c r="C14" s="218">
        <v>102368</v>
      </c>
      <c r="D14" s="93">
        <v>4</v>
      </c>
      <c r="E14" s="162" t="s">
        <v>442</v>
      </c>
      <c r="F14" s="163" t="s">
        <v>442</v>
      </c>
      <c r="G14" s="79"/>
      <c r="H14" s="322"/>
      <c r="I14" s="79">
        <v>127813</v>
      </c>
      <c r="J14" s="322">
        <v>125365</v>
      </c>
      <c r="K14" s="79">
        <v>38008</v>
      </c>
      <c r="L14" s="322">
        <v>35773</v>
      </c>
      <c r="M14" s="79">
        <v>137988</v>
      </c>
      <c r="N14" s="322">
        <v>142550</v>
      </c>
      <c r="O14" s="323">
        <f t="shared" si="0"/>
        <v>303809</v>
      </c>
      <c r="P14" s="638">
        <f t="shared" si="14"/>
        <v>0</v>
      </c>
      <c r="Q14" s="639" t="s">
        <v>949</v>
      </c>
      <c r="R14" s="90">
        <f t="shared" si="1"/>
        <v>10126.966666666667</v>
      </c>
      <c r="S14" s="324">
        <f t="shared" si="2"/>
        <v>303688</v>
      </c>
      <c r="T14" s="638">
        <f t="shared" si="15"/>
        <v>0</v>
      </c>
      <c r="U14" s="639" t="s">
        <v>949</v>
      </c>
      <c r="V14" s="80">
        <f t="shared" si="3"/>
        <v>10122.933333333332</v>
      </c>
      <c r="W14" s="79"/>
      <c r="X14" s="322"/>
      <c r="Y14" s="79"/>
      <c r="Z14" s="322"/>
      <c r="AA14" s="79"/>
      <c r="AB14" s="322"/>
      <c r="AC14" s="79"/>
      <c r="AD14" s="322"/>
      <c r="AE14" s="323">
        <f t="shared" si="4"/>
        <v>0</v>
      </c>
      <c r="AF14" s="638">
        <f t="shared" si="16"/>
        <v>0</v>
      </c>
      <c r="AG14" s="322"/>
      <c r="AH14" s="90">
        <f t="shared" si="5"/>
        <v>0</v>
      </c>
      <c r="AI14" s="80">
        <f t="shared" si="6"/>
        <v>0</v>
      </c>
      <c r="AJ14" s="638">
        <f t="shared" si="17"/>
        <v>0</v>
      </c>
      <c r="AK14" s="322"/>
      <c r="AL14" s="80">
        <f t="shared" si="7"/>
        <v>0</v>
      </c>
      <c r="AM14" s="79"/>
      <c r="AN14" s="322"/>
      <c r="AO14" s="79">
        <v>18689</v>
      </c>
      <c r="AP14" s="322">
        <v>24503</v>
      </c>
      <c r="AQ14" s="79">
        <v>10170</v>
      </c>
      <c r="AR14" s="322">
        <v>9352</v>
      </c>
      <c r="AS14" s="79">
        <v>18888</v>
      </c>
      <c r="AT14" s="322">
        <v>18935</v>
      </c>
      <c r="AU14" s="325">
        <f t="shared" si="8"/>
        <v>47747</v>
      </c>
      <c r="AV14" s="90">
        <f t="shared" si="9"/>
        <v>1989.4583333333333</v>
      </c>
      <c r="AW14" s="324">
        <f t="shared" si="10"/>
        <v>52790</v>
      </c>
      <c r="AX14" s="80">
        <f t="shared" si="11"/>
        <v>2199.5833333333335</v>
      </c>
      <c r="AY14" s="326">
        <f t="shared" si="12"/>
        <v>12116.425000000001</v>
      </c>
      <c r="AZ14" s="80">
        <f t="shared" si="13"/>
        <v>12322.516666666666</v>
      </c>
    </row>
    <row r="15" spans="1:52" s="96" customFormat="1">
      <c r="A15" s="91" t="s">
        <v>109</v>
      </c>
      <c r="B15" s="92" t="s">
        <v>120</v>
      </c>
      <c r="C15" s="218">
        <v>101879</v>
      </c>
      <c r="D15" s="93">
        <v>4</v>
      </c>
      <c r="E15" s="162" t="s">
        <v>442</v>
      </c>
      <c r="F15" s="163" t="s">
        <v>442</v>
      </c>
      <c r="G15" s="79"/>
      <c r="H15" s="322"/>
      <c r="I15" s="79">
        <v>66006</v>
      </c>
      <c r="J15" s="322">
        <v>67070</v>
      </c>
      <c r="K15" s="79">
        <v>13749</v>
      </c>
      <c r="L15" s="322">
        <v>13519</v>
      </c>
      <c r="M15" s="79">
        <v>73381</v>
      </c>
      <c r="N15" s="322">
        <v>72521</v>
      </c>
      <c r="O15" s="323">
        <f t="shared" si="0"/>
        <v>153136</v>
      </c>
      <c r="P15" s="638">
        <f t="shared" si="14"/>
        <v>0</v>
      </c>
      <c r="Q15" s="639" t="s">
        <v>949</v>
      </c>
      <c r="R15" s="90">
        <f t="shared" si="1"/>
        <v>5104.5333333333338</v>
      </c>
      <c r="S15" s="324">
        <f t="shared" si="2"/>
        <v>153110</v>
      </c>
      <c r="T15" s="638">
        <f t="shared" si="15"/>
        <v>0</v>
      </c>
      <c r="U15" s="639" t="s">
        <v>949</v>
      </c>
      <c r="V15" s="80">
        <f t="shared" si="3"/>
        <v>5103.666666666667</v>
      </c>
      <c r="W15" s="79"/>
      <c r="X15" s="322"/>
      <c r="Y15" s="79"/>
      <c r="Z15" s="322"/>
      <c r="AA15" s="79"/>
      <c r="AB15" s="322"/>
      <c r="AC15" s="79"/>
      <c r="AD15" s="322"/>
      <c r="AE15" s="323">
        <f t="shared" si="4"/>
        <v>0</v>
      </c>
      <c r="AF15" s="638">
        <f t="shared" si="16"/>
        <v>0</v>
      </c>
      <c r="AG15" s="322"/>
      <c r="AH15" s="90">
        <f t="shared" si="5"/>
        <v>0</v>
      </c>
      <c r="AI15" s="80">
        <f t="shared" si="6"/>
        <v>0</v>
      </c>
      <c r="AJ15" s="638">
        <f t="shared" si="17"/>
        <v>0</v>
      </c>
      <c r="AK15" s="322"/>
      <c r="AL15" s="80">
        <f t="shared" si="7"/>
        <v>0</v>
      </c>
      <c r="AM15" s="79"/>
      <c r="AN15" s="322"/>
      <c r="AO15" s="79">
        <v>8010</v>
      </c>
      <c r="AP15" s="322">
        <v>9596</v>
      </c>
      <c r="AQ15" s="79">
        <v>5183</v>
      </c>
      <c r="AR15" s="322">
        <v>5952</v>
      </c>
      <c r="AS15" s="79">
        <v>8620</v>
      </c>
      <c r="AT15" s="322">
        <v>7839</v>
      </c>
      <c r="AU15" s="325">
        <f t="shared" si="8"/>
        <v>21813</v>
      </c>
      <c r="AV15" s="90">
        <f t="shared" si="9"/>
        <v>908.875</v>
      </c>
      <c r="AW15" s="324">
        <f t="shared" si="10"/>
        <v>23387</v>
      </c>
      <c r="AX15" s="80">
        <f t="shared" si="11"/>
        <v>974.45833333333337</v>
      </c>
      <c r="AY15" s="326">
        <f t="shared" si="12"/>
        <v>6013.4083333333338</v>
      </c>
      <c r="AZ15" s="80">
        <f t="shared" si="13"/>
        <v>6078.125</v>
      </c>
    </row>
    <row r="16" spans="1:52" s="96" customFormat="1">
      <c r="A16" s="91" t="s">
        <v>109</v>
      </c>
      <c r="B16" s="92" t="s">
        <v>121</v>
      </c>
      <c r="C16" s="218">
        <v>101709</v>
      </c>
      <c r="D16" s="93">
        <v>5</v>
      </c>
      <c r="E16" s="162" t="s">
        <v>442</v>
      </c>
      <c r="F16" s="163" t="s">
        <v>442</v>
      </c>
      <c r="G16" s="79"/>
      <c r="H16" s="322"/>
      <c r="I16" s="79">
        <v>29956</v>
      </c>
      <c r="J16" s="322">
        <v>30842</v>
      </c>
      <c r="K16" s="79">
        <v>6240</v>
      </c>
      <c r="L16" s="322">
        <v>6302</v>
      </c>
      <c r="M16" s="79">
        <v>33726</v>
      </c>
      <c r="N16" s="322">
        <v>34234</v>
      </c>
      <c r="O16" s="323">
        <f t="shared" si="0"/>
        <v>69922</v>
      </c>
      <c r="P16" s="638">
        <f t="shared" si="14"/>
        <v>0</v>
      </c>
      <c r="Q16" s="639" t="s">
        <v>949</v>
      </c>
      <c r="R16" s="90">
        <f t="shared" si="1"/>
        <v>2330.7333333333331</v>
      </c>
      <c r="S16" s="324">
        <f t="shared" si="2"/>
        <v>71378</v>
      </c>
      <c r="T16" s="638">
        <f t="shared" si="15"/>
        <v>0</v>
      </c>
      <c r="U16" s="639" t="s">
        <v>949</v>
      </c>
      <c r="V16" s="80">
        <f t="shared" si="3"/>
        <v>2379.2666666666669</v>
      </c>
      <c r="W16" s="79"/>
      <c r="X16" s="322"/>
      <c r="Y16" s="79"/>
      <c r="Z16" s="322"/>
      <c r="AA16" s="79"/>
      <c r="AB16" s="322"/>
      <c r="AC16" s="79"/>
      <c r="AD16" s="322"/>
      <c r="AE16" s="323">
        <f t="shared" si="4"/>
        <v>0</v>
      </c>
      <c r="AF16" s="638">
        <f t="shared" si="16"/>
        <v>0</v>
      </c>
      <c r="AG16" s="322"/>
      <c r="AH16" s="90">
        <f t="shared" si="5"/>
        <v>0</v>
      </c>
      <c r="AI16" s="80">
        <f t="shared" si="6"/>
        <v>0</v>
      </c>
      <c r="AJ16" s="638">
        <f t="shared" si="17"/>
        <v>0</v>
      </c>
      <c r="AK16" s="322"/>
      <c r="AL16" s="80">
        <f t="shared" si="7"/>
        <v>0</v>
      </c>
      <c r="AM16" s="79"/>
      <c r="AN16" s="322"/>
      <c r="AO16" s="79">
        <v>2730</v>
      </c>
      <c r="AP16" s="322">
        <v>2544</v>
      </c>
      <c r="AQ16" s="79">
        <v>2685</v>
      </c>
      <c r="AR16" s="322">
        <v>2335</v>
      </c>
      <c r="AS16" s="79">
        <v>2831</v>
      </c>
      <c r="AT16" s="322">
        <v>2852</v>
      </c>
      <c r="AU16" s="325">
        <f t="shared" si="8"/>
        <v>8246</v>
      </c>
      <c r="AV16" s="90">
        <f t="shared" si="9"/>
        <v>343.58333333333331</v>
      </c>
      <c r="AW16" s="324">
        <f t="shared" si="10"/>
        <v>7731</v>
      </c>
      <c r="AX16" s="80">
        <f t="shared" si="11"/>
        <v>322.125</v>
      </c>
      <c r="AY16" s="326">
        <f t="shared" si="12"/>
        <v>2674.3166666666666</v>
      </c>
      <c r="AZ16" s="80">
        <f t="shared" si="13"/>
        <v>2701.3916666666669</v>
      </c>
    </row>
    <row r="17" spans="1:52" s="96" customFormat="1">
      <c r="A17" s="91" t="s">
        <v>109</v>
      </c>
      <c r="B17" s="91" t="s">
        <v>122</v>
      </c>
      <c r="C17" s="211">
        <v>101587</v>
      </c>
      <c r="D17" s="93">
        <v>5</v>
      </c>
      <c r="E17" s="162" t="s">
        <v>442</v>
      </c>
      <c r="F17" s="163" t="s">
        <v>442</v>
      </c>
      <c r="G17" s="79"/>
      <c r="H17" s="322"/>
      <c r="I17" s="79">
        <v>21100</v>
      </c>
      <c r="J17" s="322">
        <v>20971</v>
      </c>
      <c r="K17" s="79">
        <v>5513</v>
      </c>
      <c r="L17" s="322">
        <v>5664</v>
      </c>
      <c r="M17" s="79">
        <v>23357</v>
      </c>
      <c r="N17" s="322">
        <v>23435</v>
      </c>
      <c r="O17" s="323">
        <f t="shared" si="0"/>
        <v>49970</v>
      </c>
      <c r="P17" s="638">
        <f t="shared" si="14"/>
        <v>0</v>
      </c>
      <c r="Q17" s="639" t="s">
        <v>949</v>
      </c>
      <c r="R17" s="90">
        <f t="shared" si="1"/>
        <v>1665.6666666666667</v>
      </c>
      <c r="S17" s="324">
        <f t="shared" si="2"/>
        <v>50070</v>
      </c>
      <c r="T17" s="638">
        <f t="shared" si="15"/>
        <v>0</v>
      </c>
      <c r="U17" s="639" t="s">
        <v>949</v>
      </c>
      <c r="V17" s="80">
        <f t="shared" si="3"/>
        <v>1669</v>
      </c>
      <c r="W17" s="79"/>
      <c r="X17" s="322"/>
      <c r="Y17" s="79"/>
      <c r="Z17" s="322"/>
      <c r="AA17" s="79"/>
      <c r="AB17" s="322"/>
      <c r="AC17" s="79"/>
      <c r="AD17" s="322"/>
      <c r="AE17" s="323">
        <f t="shared" si="4"/>
        <v>0</v>
      </c>
      <c r="AF17" s="638">
        <f t="shared" si="16"/>
        <v>0</v>
      </c>
      <c r="AG17" s="322"/>
      <c r="AH17" s="90">
        <f t="shared" si="5"/>
        <v>0</v>
      </c>
      <c r="AI17" s="80">
        <f t="shared" si="6"/>
        <v>0</v>
      </c>
      <c r="AJ17" s="638">
        <f t="shared" si="17"/>
        <v>0</v>
      </c>
      <c r="AK17" s="322"/>
      <c r="AL17" s="80">
        <f t="shared" si="7"/>
        <v>0</v>
      </c>
      <c r="AM17" s="79"/>
      <c r="AN17" s="322"/>
      <c r="AO17" s="79">
        <v>9003</v>
      </c>
      <c r="AP17" s="322">
        <v>10646</v>
      </c>
      <c r="AQ17" s="79">
        <v>10446</v>
      </c>
      <c r="AR17" s="322">
        <v>12468</v>
      </c>
      <c r="AS17" s="79">
        <v>9605</v>
      </c>
      <c r="AT17" s="322">
        <v>18708</v>
      </c>
      <c r="AU17" s="325">
        <f t="shared" si="8"/>
        <v>29054</v>
      </c>
      <c r="AV17" s="90">
        <f t="shared" si="9"/>
        <v>1210.5833333333333</v>
      </c>
      <c r="AW17" s="324">
        <f t="shared" si="10"/>
        <v>41822</v>
      </c>
      <c r="AX17" s="80">
        <f t="shared" si="11"/>
        <v>1742.5833333333333</v>
      </c>
      <c r="AY17" s="326">
        <f t="shared" si="12"/>
        <v>2876.25</v>
      </c>
      <c r="AZ17" s="80">
        <f t="shared" si="13"/>
        <v>3411.583333333333</v>
      </c>
    </row>
    <row r="18" spans="1:52" s="96" customFormat="1">
      <c r="A18" s="91" t="s">
        <v>109</v>
      </c>
      <c r="B18" s="92" t="s">
        <v>123</v>
      </c>
      <c r="C18" s="218">
        <v>100812</v>
      </c>
      <c r="D18" s="93">
        <v>6</v>
      </c>
      <c r="E18" s="162" t="s">
        <v>442</v>
      </c>
      <c r="F18" s="163" t="s">
        <v>442</v>
      </c>
      <c r="G18" s="79"/>
      <c r="H18" s="322"/>
      <c r="I18" s="79">
        <v>26504</v>
      </c>
      <c r="J18" s="322">
        <v>28160</v>
      </c>
      <c r="K18" s="79">
        <v>18041</v>
      </c>
      <c r="L18" s="322">
        <v>19732</v>
      </c>
      <c r="M18" s="79">
        <v>29034</v>
      </c>
      <c r="N18" s="322">
        <v>31799</v>
      </c>
      <c r="O18" s="323">
        <f t="shared" si="0"/>
        <v>73579</v>
      </c>
      <c r="P18" s="638">
        <f t="shared" si="14"/>
        <v>0</v>
      </c>
      <c r="Q18" s="639" t="s">
        <v>949</v>
      </c>
      <c r="R18" s="90">
        <f t="shared" si="1"/>
        <v>2452.6333333333332</v>
      </c>
      <c r="S18" s="324">
        <f t="shared" si="2"/>
        <v>79691</v>
      </c>
      <c r="T18" s="638">
        <f t="shared" si="15"/>
        <v>0</v>
      </c>
      <c r="U18" s="639" t="s">
        <v>949</v>
      </c>
      <c r="V18" s="80">
        <f t="shared" si="3"/>
        <v>2656.3666666666668</v>
      </c>
      <c r="W18" s="79"/>
      <c r="X18" s="322"/>
      <c r="Y18" s="79"/>
      <c r="Z18" s="322"/>
      <c r="AA18" s="79"/>
      <c r="AB18" s="322"/>
      <c r="AC18" s="79"/>
      <c r="AD18" s="322"/>
      <c r="AE18" s="323">
        <f t="shared" si="4"/>
        <v>0</v>
      </c>
      <c r="AF18" s="638">
        <f t="shared" si="16"/>
        <v>0</v>
      </c>
      <c r="AG18" s="322"/>
      <c r="AH18" s="90">
        <f t="shared" si="5"/>
        <v>0</v>
      </c>
      <c r="AI18" s="80">
        <f t="shared" si="6"/>
        <v>0</v>
      </c>
      <c r="AJ18" s="638">
        <f t="shared" si="17"/>
        <v>0</v>
      </c>
      <c r="AK18" s="322"/>
      <c r="AL18" s="80">
        <f t="shared" si="7"/>
        <v>0</v>
      </c>
      <c r="AM18" s="79"/>
      <c r="AN18" s="322"/>
      <c r="AO18" s="79"/>
      <c r="AP18" s="322"/>
      <c r="AQ18" s="79"/>
      <c r="AR18" s="322"/>
      <c r="AS18" s="79"/>
      <c r="AT18" s="322"/>
      <c r="AU18" s="325">
        <f t="shared" si="8"/>
        <v>0</v>
      </c>
      <c r="AV18" s="90">
        <f t="shared" si="9"/>
        <v>0</v>
      </c>
      <c r="AW18" s="324">
        <f t="shared" si="10"/>
        <v>0</v>
      </c>
      <c r="AX18" s="80">
        <f t="shared" si="11"/>
        <v>0</v>
      </c>
      <c r="AY18" s="326">
        <f t="shared" si="12"/>
        <v>2452.6333333333332</v>
      </c>
      <c r="AZ18" s="80">
        <f t="shared" si="13"/>
        <v>2656.3666666666668</v>
      </c>
    </row>
    <row r="19" spans="1:52" s="96" customFormat="1">
      <c r="A19" s="91" t="s">
        <v>109</v>
      </c>
      <c r="B19" s="92" t="s">
        <v>124</v>
      </c>
      <c r="C19" s="218">
        <v>101505</v>
      </c>
      <c r="D19" s="93">
        <v>8</v>
      </c>
      <c r="E19" s="162" t="s">
        <v>442</v>
      </c>
      <c r="F19" s="163" t="s">
        <v>442</v>
      </c>
      <c r="G19" s="79"/>
      <c r="H19" s="322"/>
      <c r="I19" s="79">
        <v>63838</v>
      </c>
      <c r="J19" s="322">
        <v>65302</v>
      </c>
      <c r="K19" s="79">
        <v>34714</v>
      </c>
      <c r="L19" s="322">
        <v>34415</v>
      </c>
      <c r="M19" s="79">
        <v>68570</v>
      </c>
      <c r="N19" s="322">
        <v>70740</v>
      </c>
      <c r="O19" s="323">
        <f t="shared" si="0"/>
        <v>167122</v>
      </c>
      <c r="P19" s="638">
        <f t="shared" si="14"/>
        <v>0</v>
      </c>
      <c r="Q19" s="639" t="s">
        <v>949</v>
      </c>
      <c r="R19" s="90">
        <f t="shared" si="1"/>
        <v>5570.7333333333336</v>
      </c>
      <c r="S19" s="324">
        <f t="shared" si="2"/>
        <v>170457</v>
      </c>
      <c r="T19" s="638">
        <f t="shared" si="15"/>
        <v>0</v>
      </c>
      <c r="U19" s="639" t="s">
        <v>949</v>
      </c>
      <c r="V19" s="80">
        <f t="shared" si="3"/>
        <v>5681.9</v>
      </c>
      <c r="W19" s="79"/>
      <c r="X19" s="322"/>
      <c r="Y19" s="79"/>
      <c r="Z19" s="322"/>
      <c r="AA19" s="79"/>
      <c r="AB19" s="322"/>
      <c r="AC19" s="79"/>
      <c r="AD19" s="322"/>
      <c r="AE19" s="323">
        <f t="shared" si="4"/>
        <v>0</v>
      </c>
      <c r="AF19" s="638">
        <f t="shared" si="16"/>
        <v>0</v>
      </c>
      <c r="AG19" s="322"/>
      <c r="AH19" s="90">
        <f t="shared" si="5"/>
        <v>0</v>
      </c>
      <c r="AI19" s="80">
        <f t="shared" si="6"/>
        <v>0</v>
      </c>
      <c r="AJ19" s="638">
        <f t="shared" si="17"/>
        <v>0</v>
      </c>
      <c r="AK19" s="322"/>
      <c r="AL19" s="80">
        <f t="shared" si="7"/>
        <v>0</v>
      </c>
      <c r="AM19" s="79"/>
      <c r="AN19" s="322"/>
      <c r="AO19" s="79"/>
      <c r="AP19" s="322"/>
      <c r="AQ19" s="79"/>
      <c r="AR19" s="322"/>
      <c r="AS19" s="79"/>
      <c r="AT19" s="322"/>
      <c r="AU19" s="325">
        <f t="shared" si="8"/>
        <v>0</v>
      </c>
      <c r="AV19" s="90">
        <f t="shared" si="9"/>
        <v>0</v>
      </c>
      <c r="AW19" s="324">
        <f t="shared" si="10"/>
        <v>0</v>
      </c>
      <c r="AX19" s="80">
        <f t="shared" si="11"/>
        <v>0</v>
      </c>
      <c r="AY19" s="326">
        <f t="shared" si="12"/>
        <v>5570.7333333333336</v>
      </c>
      <c r="AZ19" s="80">
        <f t="shared" si="13"/>
        <v>5681.9</v>
      </c>
    </row>
    <row r="20" spans="1:52" s="96" customFormat="1">
      <c r="A20" s="91" t="s">
        <v>109</v>
      </c>
      <c r="B20" s="92" t="s">
        <v>125</v>
      </c>
      <c r="C20" s="218">
        <v>101514</v>
      </c>
      <c r="D20" s="93">
        <v>8</v>
      </c>
      <c r="E20" s="162" t="s">
        <v>442</v>
      </c>
      <c r="F20" s="163" t="s">
        <v>442</v>
      </c>
      <c r="G20" s="79"/>
      <c r="H20" s="322"/>
      <c r="I20" s="79">
        <v>72232</v>
      </c>
      <c r="J20" s="322">
        <v>80505</v>
      </c>
      <c r="K20" s="79">
        <v>31164</v>
      </c>
      <c r="L20" s="322">
        <v>34630</v>
      </c>
      <c r="M20" s="79">
        <v>82799</v>
      </c>
      <c r="N20" s="322">
        <v>89719</v>
      </c>
      <c r="O20" s="323">
        <f t="shared" si="0"/>
        <v>186195</v>
      </c>
      <c r="P20" s="638">
        <f t="shared" si="14"/>
        <v>0</v>
      </c>
      <c r="Q20" s="639" t="s">
        <v>949</v>
      </c>
      <c r="R20" s="90">
        <f t="shared" si="1"/>
        <v>6206.5</v>
      </c>
      <c r="S20" s="324">
        <f t="shared" si="2"/>
        <v>204854</v>
      </c>
      <c r="T20" s="638">
        <f t="shared" si="15"/>
        <v>0</v>
      </c>
      <c r="U20" s="639" t="s">
        <v>949</v>
      </c>
      <c r="V20" s="80">
        <f t="shared" si="3"/>
        <v>6828.4666666666662</v>
      </c>
      <c r="W20" s="79"/>
      <c r="X20" s="322"/>
      <c r="Y20" s="79"/>
      <c r="Z20" s="322"/>
      <c r="AA20" s="79"/>
      <c r="AB20" s="322"/>
      <c r="AC20" s="79"/>
      <c r="AD20" s="322"/>
      <c r="AE20" s="323">
        <f t="shared" si="4"/>
        <v>0</v>
      </c>
      <c r="AF20" s="638">
        <f t="shared" si="16"/>
        <v>0</v>
      </c>
      <c r="AG20" s="322"/>
      <c r="AH20" s="90">
        <f t="shared" si="5"/>
        <v>0</v>
      </c>
      <c r="AI20" s="80">
        <f t="shared" si="6"/>
        <v>0</v>
      </c>
      <c r="AJ20" s="638">
        <f t="shared" si="17"/>
        <v>0</v>
      </c>
      <c r="AK20" s="322"/>
      <c r="AL20" s="80">
        <f t="shared" si="7"/>
        <v>0</v>
      </c>
      <c r="AM20" s="79"/>
      <c r="AN20" s="322"/>
      <c r="AO20" s="79"/>
      <c r="AP20" s="322"/>
      <c r="AQ20" s="79"/>
      <c r="AR20" s="322"/>
      <c r="AS20" s="79"/>
      <c r="AT20" s="322"/>
      <c r="AU20" s="325">
        <f t="shared" si="8"/>
        <v>0</v>
      </c>
      <c r="AV20" s="90">
        <f t="shared" si="9"/>
        <v>0</v>
      </c>
      <c r="AW20" s="324">
        <f t="shared" si="10"/>
        <v>0</v>
      </c>
      <c r="AX20" s="80">
        <f t="shared" si="11"/>
        <v>0</v>
      </c>
      <c r="AY20" s="326">
        <f t="shared" si="12"/>
        <v>6206.5</v>
      </c>
      <c r="AZ20" s="80">
        <f t="shared" si="13"/>
        <v>6828.4666666666662</v>
      </c>
    </row>
    <row r="21" spans="1:52" s="96" customFormat="1">
      <c r="A21" s="91" t="s">
        <v>109</v>
      </c>
      <c r="B21" s="92" t="s">
        <v>126</v>
      </c>
      <c r="C21" s="218">
        <v>102429</v>
      </c>
      <c r="D21" s="93">
        <v>9</v>
      </c>
      <c r="E21" s="162" t="s">
        <v>442</v>
      </c>
      <c r="F21" s="163" t="s">
        <v>442</v>
      </c>
      <c r="G21" s="79"/>
      <c r="H21" s="322"/>
      <c r="I21" s="79">
        <v>42196</v>
      </c>
      <c r="J21" s="322">
        <v>42974</v>
      </c>
      <c r="K21" s="79">
        <v>19416</v>
      </c>
      <c r="L21" s="322">
        <v>19778</v>
      </c>
      <c r="M21" s="79">
        <v>44396</v>
      </c>
      <c r="N21" s="322">
        <v>43155</v>
      </c>
      <c r="O21" s="323">
        <f t="shared" si="0"/>
        <v>106008</v>
      </c>
      <c r="P21" s="638">
        <f t="shared" si="14"/>
        <v>0</v>
      </c>
      <c r="Q21" s="639" t="s">
        <v>949</v>
      </c>
      <c r="R21" s="90">
        <f t="shared" si="1"/>
        <v>3533.6</v>
      </c>
      <c r="S21" s="324">
        <f t="shared" si="2"/>
        <v>105907</v>
      </c>
      <c r="T21" s="638">
        <f t="shared" si="15"/>
        <v>0</v>
      </c>
      <c r="U21" s="639" t="s">
        <v>949</v>
      </c>
      <c r="V21" s="80">
        <f t="shared" si="3"/>
        <v>3530.2333333333331</v>
      </c>
      <c r="W21" s="79"/>
      <c r="X21" s="322"/>
      <c r="Y21" s="79"/>
      <c r="Z21" s="322"/>
      <c r="AA21" s="79"/>
      <c r="AB21" s="322"/>
      <c r="AC21" s="79"/>
      <c r="AD21" s="322"/>
      <c r="AE21" s="323">
        <f t="shared" si="4"/>
        <v>0</v>
      </c>
      <c r="AF21" s="638">
        <f t="shared" si="16"/>
        <v>0</v>
      </c>
      <c r="AG21" s="322"/>
      <c r="AH21" s="90">
        <f t="shared" si="5"/>
        <v>0</v>
      </c>
      <c r="AI21" s="80">
        <f t="shared" si="6"/>
        <v>0</v>
      </c>
      <c r="AJ21" s="638">
        <f t="shared" si="17"/>
        <v>0</v>
      </c>
      <c r="AK21" s="322"/>
      <c r="AL21" s="80">
        <f t="shared" si="7"/>
        <v>0</v>
      </c>
      <c r="AM21" s="79"/>
      <c r="AN21" s="322"/>
      <c r="AO21" s="79"/>
      <c r="AP21" s="322"/>
      <c r="AQ21" s="79"/>
      <c r="AR21" s="322"/>
      <c r="AS21" s="79"/>
      <c r="AT21" s="322"/>
      <c r="AU21" s="325">
        <f t="shared" si="8"/>
        <v>0</v>
      </c>
      <c r="AV21" s="90">
        <f t="shared" si="9"/>
        <v>0</v>
      </c>
      <c r="AW21" s="324">
        <f t="shared" si="10"/>
        <v>0</v>
      </c>
      <c r="AX21" s="80">
        <f t="shared" si="11"/>
        <v>0</v>
      </c>
      <c r="AY21" s="326">
        <f t="shared" si="12"/>
        <v>3533.6</v>
      </c>
      <c r="AZ21" s="80">
        <f t="shared" si="13"/>
        <v>3530.2333333333331</v>
      </c>
    </row>
    <row r="22" spans="1:52" s="96" customFormat="1">
      <c r="A22" s="91" t="s">
        <v>109</v>
      </c>
      <c r="B22" s="92" t="s">
        <v>127</v>
      </c>
      <c r="C22" s="218">
        <v>102030</v>
      </c>
      <c r="D22" s="93">
        <v>9</v>
      </c>
      <c r="E22" s="162" t="s">
        <v>442</v>
      </c>
      <c r="F22" s="163" t="s">
        <v>442</v>
      </c>
      <c r="G22" s="79"/>
      <c r="H22" s="322"/>
      <c r="I22" s="79">
        <v>32382</v>
      </c>
      <c r="J22" s="322">
        <v>22251</v>
      </c>
      <c r="K22" s="79">
        <v>10927</v>
      </c>
      <c r="L22" s="322">
        <v>8717</v>
      </c>
      <c r="M22" s="79">
        <v>24422</v>
      </c>
      <c r="N22" s="322">
        <v>27823</v>
      </c>
      <c r="O22" s="323">
        <f t="shared" si="0"/>
        <v>67731</v>
      </c>
      <c r="P22" s="638">
        <f t="shared" si="14"/>
        <v>0</v>
      </c>
      <c r="Q22" s="639" t="s">
        <v>949</v>
      </c>
      <c r="R22" s="90">
        <f t="shared" si="1"/>
        <v>2257.6999999999998</v>
      </c>
      <c r="S22" s="324">
        <f t="shared" si="2"/>
        <v>58791</v>
      </c>
      <c r="T22" s="638">
        <f t="shared" si="15"/>
        <v>0</v>
      </c>
      <c r="U22" s="639" t="s">
        <v>949</v>
      </c>
      <c r="V22" s="80">
        <f t="shared" si="3"/>
        <v>1959.7</v>
      </c>
      <c r="W22" s="79"/>
      <c r="X22" s="322"/>
      <c r="Y22" s="79"/>
      <c r="Z22" s="322"/>
      <c r="AA22" s="79"/>
      <c r="AB22" s="322"/>
      <c r="AC22" s="79"/>
      <c r="AD22" s="322"/>
      <c r="AE22" s="323">
        <f t="shared" si="4"/>
        <v>0</v>
      </c>
      <c r="AF22" s="638">
        <f t="shared" si="16"/>
        <v>0</v>
      </c>
      <c r="AG22" s="322"/>
      <c r="AH22" s="90">
        <f t="shared" si="5"/>
        <v>0</v>
      </c>
      <c r="AI22" s="80">
        <f t="shared" si="6"/>
        <v>0</v>
      </c>
      <c r="AJ22" s="638">
        <f t="shared" si="17"/>
        <v>0</v>
      </c>
      <c r="AK22" s="322"/>
      <c r="AL22" s="80">
        <f t="shared" si="7"/>
        <v>0</v>
      </c>
      <c r="AM22" s="79"/>
      <c r="AN22" s="322"/>
      <c r="AO22" s="79"/>
      <c r="AP22" s="322"/>
      <c r="AQ22" s="79"/>
      <c r="AR22" s="322"/>
      <c r="AS22" s="79"/>
      <c r="AT22" s="322"/>
      <c r="AU22" s="325">
        <f t="shared" si="8"/>
        <v>0</v>
      </c>
      <c r="AV22" s="90">
        <f t="shared" si="9"/>
        <v>0</v>
      </c>
      <c r="AW22" s="324">
        <f t="shared" si="10"/>
        <v>0</v>
      </c>
      <c r="AX22" s="80">
        <f t="shared" si="11"/>
        <v>0</v>
      </c>
      <c r="AY22" s="326">
        <f t="shared" si="12"/>
        <v>2257.6999999999998</v>
      </c>
      <c r="AZ22" s="80">
        <f t="shared" si="13"/>
        <v>1959.7</v>
      </c>
    </row>
    <row r="23" spans="1:52" s="96" customFormat="1">
      <c r="A23" s="91" t="s">
        <v>109</v>
      </c>
      <c r="B23" s="92" t="s">
        <v>128</v>
      </c>
      <c r="C23" s="218">
        <v>101240</v>
      </c>
      <c r="D23" s="93">
        <v>9</v>
      </c>
      <c r="E23" s="162" t="s">
        <v>442</v>
      </c>
      <c r="F23" s="163" t="s">
        <v>442</v>
      </c>
      <c r="G23" s="79"/>
      <c r="H23" s="322"/>
      <c r="I23" s="79">
        <v>52629</v>
      </c>
      <c r="J23" s="322">
        <v>53216</v>
      </c>
      <c r="K23" s="79">
        <v>25962</v>
      </c>
      <c r="L23" s="322">
        <v>27380</v>
      </c>
      <c r="M23" s="79">
        <v>56900</v>
      </c>
      <c r="N23" s="322">
        <v>61052</v>
      </c>
      <c r="O23" s="323">
        <f t="shared" si="0"/>
        <v>135491</v>
      </c>
      <c r="P23" s="638">
        <f t="shared" si="14"/>
        <v>0</v>
      </c>
      <c r="Q23" s="639" t="s">
        <v>949</v>
      </c>
      <c r="R23" s="90">
        <f t="shared" si="1"/>
        <v>4516.3666666666668</v>
      </c>
      <c r="S23" s="324">
        <f t="shared" si="2"/>
        <v>141648</v>
      </c>
      <c r="T23" s="638">
        <f t="shared" si="15"/>
        <v>0</v>
      </c>
      <c r="U23" s="639" t="s">
        <v>949</v>
      </c>
      <c r="V23" s="80">
        <f t="shared" si="3"/>
        <v>4721.6000000000004</v>
      </c>
      <c r="W23" s="79"/>
      <c r="X23" s="322"/>
      <c r="Y23" s="79"/>
      <c r="Z23" s="322"/>
      <c r="AA23" s="79"/>
      <c r="AB23" s="322"/>
      <c r="AC23" s="79"/>
      <c r="AD23" s="322"/>
      <c r="AE23" s="323">
        <f t="shared" si="4"/>
        <v>0</v>
      </c>
      <c r="AF23" s="638">
        <f t="shared" si="16"/>
        <v>0</v>
      </c>
      <c r="AG23" s="322"/>
      <c r="AH23" s="90">
        <f t="shared" si="5"/>
        <v>0</v>
      </c>
      <c r="AI23" s="80">
        <f t="shared" si="6"/>
        <v>0</v>
      </c>
      <c r="AJ23" s="638">
        <f t="shared" si="17"/>
        <v>0</v>
      </c>
      <c r="AK23" s="322"/>
      <c r="AL23" s="80">
        <f t="shared" si="7"/>
        <v>0</v>
      </c>
      <c r="AM23" s="79"/>
      <c r="AN23" s="322"/>
      <c r="AO23" s="79"/>
      <c r="AP23" s="322"/>
      <c r="AQ23" s="79"/>
      <c r="AR23" s="322"/>
      <c r="AS23" s="79"/>
      <c r="AT23" s="322"/>
      <c r="AU23" s="325">
        <f t="shared" si="8"/>
        <v>0</v>
      </c>
      <c r="AV23" s="90">
        <f t="shared" si="9"/>
        <v>0</v>
      </c>
      <c r="AW23" s="324">
        <f t="shared" si="10"/>
        <v>0</v>
      </c>
      <c r="AX23" s="80">
        <f t="shared" si="11"/>
        <v>0</v>
      </c>
      <c r="AY23" s="326">
        <f t="shared" si="12"/>
        <v>4516.3666666666668</v>
      </c>
      <c r="AZ23" s="80">
        <f t="shared" si="13"/>
        <v>4721.6000000000004</v>
      </c>
    </row>
    <row r="24" spans="1:52" s="96" customFormat="1">
      <c r="A24" s="91" t="s">
        <v>109</v>
      </c>
      <c r="B24" s="92" t="s">
        <v>129</v>
      </c>
      <c r="C24" s="218">
        <v>101286</v>
      </c>
      <c r="D24" s="93">
        <v>9</v>
      </c>
      <c r="E24" s="162" t="s">
        <v>442</v>
      </c>
      <c r="F24" s="163" t="s">
        <v>442</v>
      </c>
      <c r="G24" s="79"/>
      <c r="H24" s="322"/>
      <c r="I24" s="79">
        <v>33539</v>
      </c>
      <c r="J24" s="322">
        <v>35225</v>
      </c>
      <c r="K24" s="79">
        <v>19963</v>
      </c>
      <c r="L24" s="322">
        <v>21510</v>
      </c>
      <c r="M24" s="79">
        <v>37750</v>
      </c>
      <c r="N24" s="322">
        <v>40573</v>
      </c>
      <c r="O24" s="323">
        <f t="shared" si="0"/>
        <v>91252</v>
      </c>
      <c r="P24" s="638">
        <f t="shared" si="14"/>
        <v>0</v>
      </c>
      <c r="Q24" s="639" t="s">
        <v>949</v>
      </c>
      <c r="R24" s="90">
        <f t="shared" si="1"/>
        <v>3041.7333333333331</v>
      </c>
      <c r="S24" s="324">
        <f t="shared" si="2"/>
        <v>97308</v>
      </c>
      <c r="T24" s="638">
        <f t="shared" si="15"/>
        <v>0</v>
      </c>
      <c r="U24" s="639" t="s">
        <v>949</v>
      </c>
      <c r="V24" s="80">
        <f t="shared" si="3"/>
        <v>3243.6</v>
      </c>
      <c r="W24" s="79"/>
      <c r="X24" s="322"/>
      <c r="Y24" s="79"/>
      <c r="Z24" s="322"/>
      <c r="AA24" s="79"/>
      <c r="AB24" s="322"/>
      <c r="AC24" s="79"/>
      <c r="AD24" s="322"/>
      <c r="AE24" s="323">
        <f t="shared" si="4"/>
        <v>0</v>
      </c>
      <c r="AF24" s="638">
        <f t="shared" si="16"/>
        <v>0</v>
      </c>
      <c r="AG24" s="322"/>
      <c r="AH24" s="90">
        <f t="shared" si="5"/>
        <v>0</v>
      </c>
      <c r="AI24" s="80">
        <f t="shared" si="6"/>
        <v>0</v>
      </c>
      <c r="AJ24" s="638">
        <f t="shared" si="17"/>
        <v>0</v>
      </c>
      <c r="AK24" s="322"/>
      <c r="AL24" s="80">
        <f t="shared" si="7"/>
        <v>0</v>
      </c>
      <c r="AM24" s="79"/>
      <c r="AN24" s="322"/>
      <c r="AO24" s="79"/>
      <c r="AP24" s="322"/>
      <c r="AQ24" s="79"/>
      <c r="AR24" s="322"/>
      <c r="AS24" s="79"/>
      <c r="AT24" s="322"/>
      <c r="AU24" s="325">
        <f t="shared" si="8"/>
        <v>0</v>
      </c>
      <c r="AV24" s="90">
        <f t="shared" si="9"/>
        <v>0</v>
      </c>
      <c r="AW24" s="324">
        <f t="shared" si="10"/>
        <v>0</v>
      </c>
      <c r="AX24" s="80">
        <f t="shared" si="11"/>
        <v>0</v>
      </c>
      <c r="AY24" s="326">
        <f t="shared" si="12"/>
        <v>3041.7333333333331</v>
      </c>
      <c r="AZ24" s="80">
        <f t="shared" si="13"/>
        <v>3243.6</v>
      </c>
    </row>
    <row r="25" spans="1:52" s="96" customFormat="1">
      <c r="A25" s="91" t="s">
        <v>109</v>
      </c>
      <c r="B25" s="92" t="s">
        <v>130</v>
      </c>
      <c r="C25" s="218">
        <v>101161</v>
      </c>
      <c r="D25" s="93">
        <v>9</v>
      </c>
      <c r="E25" s="162" t="s">
        <v>442</v>
      </c>
      <c r="F25" s="163" t="s">
        <v>442</v>
      </c>
      <c r="G25" s="79"/>
      <c r="H25" s="322"/>
      <c r="I25" s="79">
        <v>34990</v>
      </c>
      <c r="J25" s="322">
        <v>37198</v>
      </c>
      <c r="K25" s="79">
        <v>15113</v>
      </c>
      <c r="L25" s="322">
        <v>16171</v>
      </c>
      <c r="M25" s="79">
        <v>39690</v>
      </c>
      <c r="N25" s="322">
        <v>39679</v>
      </c>
      <c r="O25" s="323">
        <f t="shared" si="0"/>
        <v>89793</v>
      </c>
      <c r="P25" s="638">
        <f t="shared" si="14"/>
        <v>0</v>
      </c>
      <c r="Q25" s="639" t="s">
        <v>949</v>
      </c>
      <c r="R25" s="90">
        <f t="shared" si="1"/>
        <v>2993.1</v>
      </c>
      <c r="S25" s="324">
        <f t="shared" si="2"/>
        <v>93048</v>
      </c>
      <c r="T25" s="638">
        <f t="shared" si="15"/>
        <v>0</v>
      </c>
      <c r="U25" s="639" t="s">
        <v>949</v>
      </c>
      <c r="V25" s="80">
        <f t="shared" si="3"/>
        <v>3101.6</v>
      </c>
      <c r="W25" s="79"/>
      <c r="X25" s="322"/>
      <c r="Y25" s="79"/>
      <c r="Z25" s="322"/>
      <c r="AA25" s="79"/>
      <c r="AB25" s="322"/>
      <c r="AC25" s="79"/>
      <c r="AD25" s="322"/>
      <c r="AE25" s="323">
        <f t="shared" si="4"/>
        <v>0</v>
      </c>
      <c r="AF25" s="638">
        <f t="shared" si="16"/>
        <v>0</v>
      </c>
      <c r="AG25" s="322"/>
      <c r="AH25" s="90">
        <f t="shared" si="5"/>
        <v>0</v>
      </c>
      <c r="AI25" s="80">
        <f t="shared" si="6"/>
        <v>0</v>
      </c>
      <c r="AJ25" s="638">
        <f t="shared" si="17"/>
        <v>0</v>
      </c>
      <c r="AK25" s="322"/>
      <c r="AL25" s="80">
        <f t="shared" si="7"/>
        <v>0</v>
      </c>
      <c r="AM25" s="79"/>
      <c r="AN25" s="322"/>
      <c r="AO25" s="79"/>
      <c r="AP25" s="322"/>
      <c r="AQ25" s="79"/>
      <c r="AR25" s="322"/>
      <c r="AS25" s="79"/>
      <c r="AT25" s="322"/>
      <c r="AU25" s="325">
        <f t="shared" si="8"/>
        <v>0</v>
      </c>
      <c r="AV25" s="90">
        <f t="shared" si="9"/>
        <v>0</v>
      </c>
      <c r="AW25" s="324">
        <f t="shared" si="10"/>
        <v>0</v>
      </c>
      <c r="AX25" s="80">
        <f t="shared" si="11"/>
        <v>0</v>
      </c>
      <c r="AY25" s="326">
        <f t="shared" si="12"/>
        <v>2993.1</v>
      </c>
      <c r="AZ25" s="80">
        <f t="shared" si="13"/>
        <v>3101.6</v>
      </c>
    </row>
    <row r="26" spans="1:52" s="96" customFormat="1">
      <c r="A26" s="91" t="s">
        <v>109</v>
      </c>
      <c r="B26" s="199" t="s">
        <v>131</v>
      </c>
      <c r="C26" s="218">
        <v>101569</v>
      </c>
      <c r="D26" s="93">
        <v>9</v>
      </c>
      <c r="E26" s="162" t="s">
        <v>442</v>
      </c>
      <c r="F26" s="163" t="s">
        <v>442</v>
      </c>
      <c r="G26" s="79"/>
      <c r="H26" s="322"/>
      <c r="I26" s="79">
        <v>29165</v>
      </c>
      <c r="J26" s="322">
        <v>31205</v>
      </c>
      <c r="K26" s="79">
        <v>14653</v>
      </c>
      <c r="L26" s="322">
        <v>14691</v>
      </c>
      <c r="M26" s="79">
        <v>33777</v>
      </c>
      <c r="N26" s="322">
        <v>36591</v>
      </c>
      <c r="O26" s="323">
        <f t="shared" si="0"/>
        <v>77595</v>
      </c>
      <c r="P26" s="638">
        <f t="shared" si="14"/>
        <v>0</v>
      </c>
      <c r="Q26" s="639" t="s">
        <v>949</v>
      </c>
      <c r="R26" s="90">
        <f t="shared" si="1"/>
        <v>2586.5</v>
      </c>
      <c r="S26" s="324">
        <f t="shared" si="2"/>
        <v>82487</v>
      </c>
      <c r="T26" s="638">
        <f t="shared" si="15"/>
        <v>0</v>
      </c>
      <c r="U26" s="639" t="s">
        <v>949</v>
      </c>
      <c r="V26" s="80">
        <f t="shared" si="3"/>
        <v>2749.5666666666666</v>
      </c>
      <c r="W26" s="79"/>
      <c r="X26" s="322"/>
      <c r="Y26" s="79"/>
      <c r="Z26" s="322"/>
      <c r="AA26" s="79"/>
      <c r="AB26" s="322"/>
      <c r="AC26" s="79"/>
      <c r="AD26" s="322"/>
      <c r="AE26" s="323">
        <f t="shared" si="4"/>
        <v>0</v>
      </c>
      <c r="AF26" s="638">
        <f t="shared" si="16"/>
        <v>0</v>
      </c>
      <c r="AG26" s="322"/>
      <c r="AH26" s="90">
        <f t="shared" si="5"/>
        <v>0</v>
      </c>
      <c r="AI26" s="80">
        <f t="shared" si="6"/>
        <v>0</v>
      </c>
      <c r="AJ26" s="638">
        <f t="shared" si="17"/>
        <v>0</v>
      </c>
      <c r="AK26" s="322"/>
      <c r="AL26" s="80">
        <f t="shared" si="7"/>
        <v>0</v>
      </c>
      <c r="AM26" s="79"/>
      <c r="AN26" s="322"/>
      <c r="AO26" s="79"/>
      <c r="AP26" s="322"/>
      <c r="AQ26" s="79"/>
      <c r="AR26" s="322"/>
      <c r="AS26" s="79"/>
      <c r="AT26" s="322"/>
      <c r="AU26" s="325">
        <f t="shared" si="8"/>
        <v>0</v>
      </c>
      <c r="AV26" s="90">
        <f t="shared" si="9"/>
        <v>0</v>
      </c>
      <c r="AW26" s="324">
        <f t="shared" si="10"/>
        <v>0</v>
      </c>
      <c r="AX26" s="80">
        <f t="shared" si="11"/>
        <v>0</v>
      </c>
      <c r="AY26" s="326">
        <f t="shared" si="12"/>
        <v>2586.5</v>
      </c>
      <c r="AZ26" s="80">
        <f t="shared" si="13"/>
        <v>2749.5666666666666</v>
      </c>
    </row>
    <row r="27" spans="1:52" s="96" customFormat="1">
      <c r="A27" s="91" t="s">
        <v>109</v>
      </c>
      <c r="B27" s="92" t="s">
        <v>132</v>
      </c>
      <c r="C27" s="218">
        <v>101736</v>
      </c>
      <c r="D27" s="93">
        <v>9</v>
      </c>
      <c r="E27" s="162" t="s">
        <v>442</v>
      </c>
      <c r="F27" s="163" t="s">
        <v>442</v>
      </c>
      <c r="G27" s="79"/>
      <c r="H27" s="322"/>
      <c r="I27" s="79">
        <v>34123</v>
      </c>
      <c r="J27" s="322">
        <v>34598</v>
      </c>
      <c r="K27" s="79">
        <v>13324</v>
      </c>
      <c r="L27" s="322">
        <v>13352</v>
      </c>
      <c r="M27" s="79">
        <v>37039</v>
      </c>
      <c r="N27" s="322">
        <v>39307</v>
      </c>
      <c r="O27" s="323">
        <f t="shared" si="0"/>
        <v>84486</v>
      </c>
      <c r="P27" s="638">
        <f t="shared" si="14"/>
        <v>0</v>
      </c>
      <c r="Q27" s="639" t="s">
        <v>949</v>
      </c>
      <c r="R27" s="90">
        <f t="shared" si="1"/>
        <v>2816.2</v>
      </c>
      <c r="S27" s="324">
        <f t="shared" si="2"/>
        <v>87257</v>
      </c>
      <c r="T27" s="638">
        <f t="shared" si="15"/>
        <v>0</v>
      </c>
      <c r="U27" s="639" t="s">
        <v>949</v>
      </c>
      <c r="V27" s="80">
        <f t="shared" si="3"/>
        <v>2908.5666666666666</v>
      </c>
      <c r="W27" s="79"/>
      <c r="X27" s="322"/>
      <c r="Y27" s="79"/>
      <c r="Z27" s="322"/>
      <c r="AA27" s="79"/>
      <c r="AB27" s="322"/>
      <c r="AC27" s="79"/>
      <c r="AD27" s="322"/>
      <c r="AE27" s="323">
        <f t="shared" si="4"/>
        <v>0</v>
      </c>
      <c r="AF27" s="638">
        <f t="shared" si="16"/>
        <v>0</v>
      </c>
      <c r="AG27" s="322"/>
      <c r="AH27" s="90">
        <f t="shared" si="5"/>
        <v>0</v>
      </c>
      <c r="AI27" s="80">
        <f t="shared" si="6"/>
        <v>0</v>
      </c>
      <c r="AJ27" s="638">
        <f t="shared" si="17"/>
        <v>0</v>
      </c>
      <c r="AK27" s="322"/>
      <c r="AL27" s="80">
        <f t="shared" si="7"/>
        <v>0</v>
      </c>
      <c r="AM27" s="79"/>
      <c r="AN27" s="322"/>
      <c r="AO27" s="79"/>
      <c r="AP27" s="322"/>
      <c r="AQ27" s="79"/>
      <c r="AR27" s="322"/>
      <c r="AS27" s="79"/>
      <c r="AT27" s="322"/>
      <c r="AU27" s="325">
        <f t="shared" si="8"/>
        <v>0</v>
      </c>
      <c r="AV27" s="90">
        <f t="shared" si="9"/>
        <v>0</v>
      </c>
      <c r="AW27" s="324">
        <f t="shared" si="10"/>
        <v>0</v>
      </c>
      <c r="AX27" s="80">
        <f t="shared" si="11"/>
        <v>0</v>
      </c>
      <c r="AY27" s="326">
        <f t="shared" si="12"/>
        <v>2816.2</v>
      </c>
      <c r="AZ27" s="80">
        <f t="shared" si="13"/>
        <v>2908.5666666666666</v>
      </c>
    </row>
    <row r="28" spans="1:52" s="96" customFormat="1">
      <c r="A28" s="91" t="s">
        <v>109</v>
      </c>
      <c r="B28" s="92" t="s">
        <v>133</v>
      </c>
      <c r="C28" s="218">
        <v>102067</v>
      </c>
      <c r="D28" s="93">
        <v>9</v>
      </c>
      <c r="E28" s="162" t="s">
        <v>442</v>
      </c>
      <c r="F28" s="163" t="s">
        <v>442</v>
      </c>
      <c r="G28" s="79"/>
      <c r="H28" s="322"/>
      <c r="I28" s="79">
        <v>52802</v>
      </c>
      <c r="J28" s="322">
        <v>48539</v>
      </c>
      <c r="K28" s="79">
        <v>25009</v>
      </c>
      <c r="L28" s="322">
        <v>24349</v>
      </c>
      <c r="M28" s="79">
        <v>54698</v>
      </c>
      <c r="N28" s="322">
        <v>57506</v>
      </c>
      <c r="O28" s="323">
        <f t="shared" si="0"/>
        <v>132509</v>
      </c>
      <c r="P28" s="638">
        <f t="shared" si="14"/>
        <v>0</v>
      </c>
      <c r="Q28" s="639" t="s">
        <v>949</v>
      </c>
      <c r="R28" s="90">
        <f t="shared" si="1"/>
        <v>4416.9666666666662</v>
      </c>
      <c r="S28" s="324">
        <f t="shared" si="2"/>
        <v>130394</v>
      </c>
      <c r="T28" s="638">
        <f t="shared" si="15"/>
        <v>0</v>
      </c>
      <c r="U28" s="639" t="s">
        <v>949</v>
      </c>
      <c r="V28" s="80">
        <f t="shared" si="3"/>
        <v>4346.4666666666662</v>
      </c>
      <c r="W28" s="79"/>
      <c r="X28" s="322"/>
      <c r="Y28" s="79"/>
      <c r="Z28" s="322"/>
      <c r="AA28" s="79"/>
      <c r="AB28" s="322"/>
      <c r="AC28" s="79"/>
      <c r="AD28" s="322"/>
      <c r="AE28" s="323">
        <f t="shared" si="4"/>
        <v>0</v>
      </c>
      <c r="AF28" s="638">
        <f t="shared" si="16"/>
        <v>0</v>
      </c>
      <c r="AG28" s="322"/>
      <c r="AH28" s="90">
        <f t="shared" si="5"/>
        <v>0</v>
      </c>
      <c r="AI28" s="80">
        <f t="shared" si="6"/>
        <v>0</v>
      </c>
      <c r="AJ28" s="638">
        <f t="shared" si="17"/>
        <v>0</v>
      </c>
      <c r="AK28" s="322"/>
      <c r="AL28" s="80">
        <f t="shared" si="7"/>
        <v>0</v>
      </c>
      <c r="AM28" s="79"/>
      <c r="AN28" s="322"/>
      <c r="AO28" s="79"/>
      <c r="AP28" s="322"/>
      <c r="AQ28" s="79"/>
      <c r="AR28" s="322"/>
      <c r="AS28" s="79"/>
      <c r="AT28" s="322"/>
      <c r="AU28" s="325">
        <f t="shared" si="8"/>
        <v>0</v>
      </c>
      <c r="AV28" s="90">
        <f t="shared" si="9"/>
        <v>0</v>
      </c>
      <c r="AW28" s="324">
        <f t="shared" si="10"/>
        <v>0</v>
      </c>
      <c r="AX28" s="80">
        <f t="shared" si="11"/>
        <v>0</v>
      </c>
      <c r="AY28" s="326">
        <f t="shared" si="12"/>
        <v>4416.9666666666662</v>
      </c>
      <c r="AZ28" s="80">
        <f t="shared" si="13"/>
        <v>4346.4666666666662</v>
      </c>
    </row>
    <row r="29" spans="1:52" s="96" customFormat="1">
      <c r="A29" s="91" t="s">
        <v>109</v>
      </c>
      <c r="B29" s="92" t="s">
        <v>134</v>
      </c>
      <c r="C29" s="218">
        <v>251260</v>
      </c>
      <c r="D29" s="93">
        <v>9</v>
      </c>
      <c r="E29" s="162" t="s">
        <v>442</v>
      </c>
      <c r="F29" s="163" t="s">
        <v>442</v>
      </c>
      <c r="G29" s="79"/>
      <c r="H29" s="322"/>
      <c r="I29" s="79">
        <v>49353</v>
      </c>
      <c r="J29" s="322">
        <v>50763</v>
      </c>
      <c r="K29" s="79">
        <v>22188</v>
      </c>
      <c r="L29" s="322">
        <v>23506</v>
      </c>
      <c r="M29" s="79">
        <v>55327</v>
      </c>
      <c r="N29" s="322">
        <v>55765</v>
      </c>
      <c r="O29" s="323">
        <f t="shared" si="0"/>
        <v>126868</v>
      </c>
      <c r="P29" s="638">
        <f t="shared" si="14"/>
        <v>0</v>
      </c>
      <c r="Q29" s="639" t="s">
        <v>949</v>
      </c>
      <c r="R29" s="90">
        <f t="shared" si="1"/>
        <v>4228.9333333333334</v>
      </c>
      <c r="S29" s="324">
        <f t="shared" si="2"/>
        <v>130034</v>
      </c>
      <c r="T29" s="638">
        <f t="shared" si="15"/>
        <v>0</v>
      </c>
      <c r="U29" s="639" t="s">
        <v>949</v>
      </c>
      <c r="V29" s="80">
        <f t="shared" si="3"/>
        <v>4334.4666666666662</v>
      </c>
      <c r="W29" s="79"/>
      <c r="X29" s="322"/>
      <c r="Y29" s="79"/>
      <c r="Z29" s="322"/>
      <c r="AA29" s="79"/>
      <c r="AB29" s="322"/>
      <c r="AC29" s="79"/>
      <c r="AD29" s="322"/>
      <c r="AE29" s="323">
        <f t="shared" si="4"/>
        <v>0</v>
      </c>
      <c r="AF29" s="638">
        <f t="shared" si="16"/>
        <v>0</v>
      </c>
      <c r="AG29" s="322"/>
      <c r="AH29" s="90">
        <f t="shared" si="5"/>
        <v>0</v>
      </c>
      <c r="AI29" s="80">
        <f t="shared" si="6"/>
        <v>0</v>
      </c>
      <c r="AJ29" s="638">
        <f t="shared" si="17"/>
        <v>0</v>
      </c>
      <c r="AK29" s="322"/>
      <c r="AL29" s="80">
        <f t="shared" si="7"/>
        <v>0</v>
      </c>
      <c r="AM29" s="79"/>
      <c r="AN29" s="322"/>
      <c r="AO29" s="79"/>
      <c r="AP29" s="322"/>
      <c r="AQ29" s="79"/>
      <c r="AR29" s="322"/>
      <c r="AS29" s="79"/>
      <c r="AT29" s="322"/>
      <c r="AU29" s="325">
        <f t="shared" si="8"/>
        <v>0</v>
      </c>
      <c r="AV29" s="90">
        <f t="shared" si="9"/>
        <v>0</v>
      </c>
      <c r="AW29" s="324">
        <f t="shared" si="10"/>
        <v>0</v>
      </c>
      <c r="AX29" s="80">
        <f t="shared" si="11"/>
        <v>0</v>
      </c>
      <c r="AY29" s="326">
        <f t="shared" si="12"/>
        <v>4228.9333333333334</v>
      </c>
      <c r="AZ29" s="80">
        <f t="shared" si="13"/>
        <v>4334.4666666666662</v>
      </c>
    </row>
    <row r="30" spans="1:52" s="96" customFormat="1">
      <c r="A30" s="91" t="s">
        <v>109</v>
      </c>
      <c r="B30" s="92" t="s">
        <v>135</v>
      </c>
      <c r="C30" s="218">
        <v>101295</v>
      </c>
      <c r="D30" s="93">
        <v>9</v>
      </c>
      <c r="E30" s="162" t="s">
        <v>442</v>
      </c>
      <c r="F30" s="163" t="s">
        <v>442</v>
      </c>
      <c r="G30" s="79"/>
      <c r="H30" s="322"/>
      <c r="I30" s="79">
        <v>53353</v>
      </c>
      <c r="J30" s="322">
        <v>56083</v>
      </c>
      <c r="K30" s="79">
        <v>24411</v>
      </c>
      <c r="L30" s="322">
        <v>25950</v>
      </c>
      <c r="M30" s="79">
        <v>56596</v>
      </c>
      <c r="N30" s="322">
        <v>59763</v>
      </c>
      <c r="O30" s="323">
        <f t="shared" si="0"/>
        <v>134360</v>
      </c>
      <c r="P30" s="638">
        <f t="shared" si="14"/>
        <v>0</v>
      </c>
      <c r="Q30" s="639" t="s">
        <v>949</v>
      </c>
      <c r="R30" s="90">
        <f t="shared" si="1"/>
        <v>4478.666666666667</v>
      </c>
      <c r="S30" s="324">
        <f t="shared" si="2"/>
        <v>141796</v>
      </c>
      <c r="T30" s="638">
        <f t="shared" si="15"/>
        <v>0</v>
      </c>
      <c r="U30" s="639" t="s">
        <v>949</v>
      </c>
      <c r="V30" s="80">
        <f t="shared" si="3"/>
        <v>4726.5333333333338</v>
      </c>
      <c r="W30" s="79"/>
      <c r="X30" s="322"/>
      <c r="Y30" s="79"/>
      <c r="Z30" s="322"/>
      <c r="AA30" s="79"/>
      <c r="AB30" s="322"/>
      <c r="AC30" s="79"/>
      <c r="AD30" s="322"/>
      <c r="AE30" s="323">
        <f t="shared" si="4"/>
        <v>0</v>
      </c>
      <c r="AF30" s="638">
        <f t="shared" si="16"/>
        <v>0</v>
      </c>
      <c r="AG30" s="322"/>
      <c r="AH30" s="90">
        <f t="shared" si="5"/>
        <v>0</v>
      </c>
      <c r="AI30" s="80">
        <f t="shared" si="6"/>
        <v>0</v>
      </c>
      <c r="AJ30" s="638">
        <f t="shared" si="17"/>
        <v>0</v>
      </c>
      <c r="AK30" s="322"/>
      <c r="AL30" s="80">
        <f t="shared" si="7"/>
        <v>0</v>
      </c>
      <c r="AM30" s="79"/>
      <c r="AN30" s="322"/>
      <c r="AO30" s="79"/>
      <c r="AP30" s="322"/>
      <c r="AQ30" s="79"/>
      <c r="AR30" s="322"/>
      <c r="AS30" s="79"/>
      <c r="AT30" s="322"/>
      <c r="AU30" s="325">
        <f t="shared" si="8"/>
        <v>0</v>
      </c>
      <c r="AV30" s="90">
        <f t="shared" si="9"/>
        <v>0</v>
      </c>
      <c r="AW30" s="324">
        <f t="shared" si="10"/>
        <v>0</v>
      </c>
      <c r="AX30" s="80">
        <f t="shared" si="11"/>
        <v>0</v>
      </c>
      <c r="AY30" s="326">
        <f t="shared" si="12"/>
        <v>4478.666666666667</v>
      </c>
      <c r="AZ30" s="80">
        <f t="shared" si="13"/>
        <v>4726.5333333333338</v>
      </c>
    </row>
    <row r="31" spans="1:52" s="96" customFormat="1">
      <c r="A31" s="91" t="s">
        <v>109</v>
      </c>
      <c r="B31" s="92" t="s">
        <v>136</v>
      </c>
      <c r="C31" s="218">
        <v>101949</v>
      </c>
      <c r="D31" s="93">
        <v>10</v>
      </c>
      <c r="E31" s="162" t="s">
        <v>442</v>
      </c>
      <c r="F31" s="163" t="s">
        <v>442</v>
      </c>
      <c r="G31" s="79"/>
      <c r="H31" s="322"/>
      <c r="I31" s="79">
        <v>13598</v>
      </c>
      <c r="J31" s="322">
        <v>12753</v>
      </c>
      <c r="K31" s="79">
        <v>5779</v>
      </c>
      <c r="L31" s="322">
        <v>5880</v>
      </c>
      <c r="M31" s="79">
        <v>13771</v>
      </c>
      <c r="N31" s="322">
        <v>14803</v>
      </c>
      <c r="O31" s="323">
        <f t="shared" si="0"/>
        <v>33148</v>
      </c>
      <c r="P31" s="638">
        <f t="shared" si="14"/>
        <v>0</v>
      </c>
      <c r="Q31" s="639" t="s">
        <v>949</v>
      </c>
      <c r="R31" s="90">
        <f t="shared" si="1"/>
        <v>1104.9333333333334</v>
      </c>
      <c r="S31" s="324">
        <f t="shared" si="2"/>
        <v>33436</v>
      </c>
      <c r="T31" s="638">
        <f t="shared" si="15"/>
        <v>0</v>
      </c>
      <c r="U31" s="639" t="s">
        <v>949</v>
      </c>
      <c r="V31" s="80">
        <f t="shared" si="3"/>
        <v>1114.5333333333333</v>
      </c>
      <c r="W31" s="79"/>
      <c r="X31" s="322"/>
      <c r="Y31" s="79"/>
      <c r="Z31" s="322"/>
      <c r="AA31" s="79"/>
      <c r="AB31" s="322"/>
      <c r="AC31" s="79"/>
      <c r="AD31" s="322"/>
      <c r="AE31" s="323">
        <f t="shared" si="4"/>
        <v>0</v>
      </c>
      <c r="AF31" s="638">
        <f t="shared" si="16"/>
        <v>0</v>
      </c>
      <c r="AG31" s="322"/>
      <c r="AH31" s="90">
        <f t="shared" si="5"/>
        <v>0</v>
      </c>
      <c r="AI31" s="80">
        <f t="shared" si="6"/>
        <v>0</v>
      </c>
      <c r="AJ31" s="638">
        <f t="shared" si="17"/>
        <v>0</v>
      </c>
      <c r="AK31" s="322"/>
      <c r="AL31" s="80">
        <f t="shared" si="7"/>
        <v>0</v>
      </c>
      <c r="AM31" s="79"/>
      <c r="AN31" s="322"/>
      <c r="AO31" s="79"/>
      <c r="AP31" s="322"/>
      <c r="AQ31" s="79"/>
      <c r="AR31" s="322"/>
      <c r="AS31" s="79"/>
      <c r="AT31" s="322"/>
      <c r="AU31" s="325">
        <f t="shared" si="8"/>
        <v>0</v>
      </c>
      <c r="AV31" s="90">
        <f t="shared" si="9"/>
        <v>0</v>
      </c>
      <c r="AW31" s="324">
        <f t="shared" si="10"/>
        <v>0</v>
      </c>
      <c r="AX31" s="80">
        <f t="shared" si="11"/>
        <v>0</v>
      </c>
      <c r="AY31" s="326">
        <f t="shared" si="12"/>
        <v>1104.9333333333334</v>
      </c>
      <c r="AZ31" s="80">
        <f t="shared" si="13"/>
        <v>1114.5333333333333</v>
      </c>
    </row>
    <row r="32" spans="1:52" s="96" customFormat="1">
      <c r="A32" s="91" t="s">
        <v>109</v>
      </c>
      <c r="B32" s="92" t="s">
        <v>137</v>
      </c>
      <c r="C32" s="218">
        <v>100760</v>
      </c>
      <c r="D32" s="106">
        <v>10</v>
      </c>
      <c r="E32" s="162" t="s">
        <v>442</v>
      </c>
      <c r="F32" s="163" t="s">
        <v>442</v>
      </c>
      <c r="G32" s="79"/>
      <c r="H32" s="322"/>
      <c r="I32" s="79">
        <v>22696</v>
      </c>
      <c r="J32" s="322">
        <v>22591</v>
      </c>
      <c r="K32" s="79">
        <v>11288</v>
      </c>
      <c r="L32" s="322">
        <v>10852</v>
      </c>
      <c r="M32" s="79">
        <v>23083</v>
      </c>
      <c r="N32" s="322">
        <v>23790</v>
      </c>
      <c r="O32" s="323">
        <f t="shared" si="0"/>
        <v>57067</v>
      </c>
      <c r="P32" s="638">
        <f t="shared" si="14"/>
        <v>0</v>
      </c>
      <c r="Q32" s="639" t="s">
        <v>949</v>
      </c>
      <c r="R32" s="90">
        <f t="shared" si="1"/>
        <v>1902.2333333333333</v>
      </c>
      <c r="S32" s="324">
        <f t="shared" si="2"/>
        <v>57233</v>
      </c>
      <c r="T32" s="638">
        <f t="shared" si="15"/>
        <v>0</v>
      </c>
      <c r="U32" s="639" t="s">
        <v>949</v>
      </c>
      <c r="V32" s="80">
        <f t="shared" si="3"/>
        <v>1907.7666666666667</v>
      </c>
      <c r="W32" s="79"/>
      <c r="X32" s="322"/>
      <c r="Y32" s="79"/>
      <c r="Z32" s="322"/>
      <c r="AA32" s="79"/>
      <c r="AB32" s="322"/>
      <c r="AC32" s="79"/>
      <c r="AD32" s="322"/>
      <c r="AE32" s="323">
        <f t="shared" si="4"/>
        <v>0</v>
      </c>
      <c r="AF32" s="638">
        <f t="shared" si="16"/>
        <v>0</v>
      </c>
      <c r="AG32" s="322"/>
      <c r="AH32" s="90">
        <f t="shared" si="5"/>
        <v>0</v>
      </c>
      <c r="AI32" s="80">
        <f t="shared" si="6"/>
        <v>0</v>
      </c>
      <c r="AJ32" s="638">
        <f t="shared" si="17"/>
        <v>0</v>
      </c>
      <c r="AK32" s="322"/>
      <c r="AL32" s="80">
        <f t="shared" si="7"/>
        <v>0</v>
      </c>
      <c r="AM32" s="79"/>
      <c r="AN32" s="322"/>
      <c r="AO32" s="79"/>
      <c r="AP32" s="322"/>
      <c r="AQ32" s="79"/>
      <c r="AR32" s="322"/>
      <c r="AS32" s="79"/>
      <c r="AT32" s="322"/>
      <c r="AU32" s="325">
        <f t="shared" si="8"/>
        <v>0</v>
      </c>
      <c r="AV32" s="90">
        <f t="shared" si="9"/>
        <v>0</v>
      </c>
      <c r="AW32" s="324">
        <f t="shared" si="10"/>
        <v>0</v>
      </c>
      <c r="AX32" s="80">
        <f t="shared" si="11"/>
        <v>0</v>
      </c>
      <c r="AY32" s="326">
        <f t="shared" si="12"/>
        <v>1902.2333333333333</v>
      </c>
      <c r="AZ32" s="80">
        <f t="shared" si="13"/>
        <v>1907.7666666666667</v>
      </c>
    </row>
    <row r="33" spans="1:52" s="96" customFormat="1">
      <c r="A33" s="91" t="s">
        <v>109</v>
      </c>
      <c r="B33" s="92" t="s">
        <v>138</v>
      </c>
      <c r="C33" s="218">
        <v>101028</v>
      </c>
      <c r="D33" s="106">
        <v>10</v>
      </c>
      <c r="E33" s="162" t="s">
        <v>442</v>
      </c>
      <c r="F33" s="163" t="s">
        <v>442</v>
      </c>
      <c r="G33" s="79"/>
      <c r="H33" s="322"/>
      <c r="I33" s="79">
        <v>18620</v>
      </c>
      <c r="J33" s="322">
        <v>16915</v>
      </c>
      <c r="K33" s="79">
        <v>7636</v>
      </c>
      <c r="L33" s="322">
        <v>7416</v>
      </c>
      <c r="M33" s="79">
        <v>17777</v>
      </c>
      <c r="N33" s="322">
        <v>18628</v>
      </c>
      <c r="O33" s="323">
        <f t="shared" si="0"/>
        <v>44033</v>
      </c>
      <c r="P33" s="638">
        <f t="shared" si="14"/>
        <v>0</v>
      </c>
      <c r="Q33" s="639" t="s">
        <v>949</v>
      </c>
      <c r="R33" s="90">
        <f t="shared" si="1"/>
        <v>1467.7666666666667</v>
      </c>
      <c r="S33" s="324">
        <f t="shared" si="2"/>
        <v>42959</v>
      </c>
      <c r="T33" s="638">
        <f t="shared" si="15"/>
        <v>0</v>
      </c>
      <c r="U33" s="639" t="s">
        <v>949</v>
      </c>
      <c r="V33" s="80">
        <f t="shared" si="3"/>
        <v>1431.9666666666667</v>
      </c>
      <c r="W33" s="79"/>
      <c r="X33" s="322"/>
      <c r="Y33" s="79"/>
      <c r="Z33" s="322"/>
      <c r="AA33" s="79"/>
      <c r="AB33" s="322"/>
      <c r="AC33" s="79"/>
      <c r="AD33" s="322"/>
      <c r="AE33" s="323">
        <f t="shared" si="4"/>
        <v>0</v>
      </c>
      <c r="AF33" s="638">
        <f t="shared" si="16"/>
        <v>0</v>
      </c>
      <c r="AG33" s="322"/>
      <c r="AH33" s="90">
        <f t="shared" si="5"/>
        <v>0</v>
      </c>
      <c r="AI33" s="80">
        <f t="shared" si="6"/>
        <v>0</v>
      </c>
      <c r="AJ33" s="638">
        <f t="shared" si="17"/>
        <v>0</v>
      </c>
      <c r="AK33" s="322"/>
      <c r="AL33" s="80">
        <f t="shared" si="7"/>
        <v>0</v>
      </c>
      <c r="AM33" s="79"/>
      <c r="AN33" s="322"/>
      <c r="AO33" s="79"/>
      <c r="AP33" s="322"/>
      <c r="AQ33" s="79"/>
      <c r="AR33" s="322"/>
      <c r="AS33" s="79"/>
      <c r="AT33" s="322"/>
      <c r="AU33" s="325">
        <f t="shared" si="8"/>
        <v>0</v>
      </c>
      <c r="AV33" s="90">
        <f t="shared" si="9"/>
        <v>0</v>
      </c>
      <c r="AW33" s="324">
        <f t="shared" si="10"/>
        <v>0</v>
      </c>
      <c r="AX33" s="80">
        <f t="shared" si="11"/>
        <v>0</v>
      </c>
      <c r="AY33" s="326">
        <f t="shared" si="12"/>
        <v>1467.7666666666667</v>
      </c>
      <c r="AZ33" s="80">
        <f t="shared" si="13"/>
        <v>1431.9666666666667</v>
      </c>
    </row>
    <row r="34" spans="1:52" s="96" customFormat="1">
      <c r="A34" s="91" t="s">
        <v>109</v>
      </c>
      <c r="B34" s="200" t="s">
        <v>139</v>
      </c>
      <c r="C34" s="218">
        <v>101143</v>
      </c>
      <c r="D34" s="106">
        <v>10</v>
      </c>
      <c r="E34" s="162" t="s">
        <v>442</v>
      </c>
      <c r="F34" s="163" t="s">
        <v>442</v>
      </c>
      <c r="G34" s="79"/>
      <c r="H34" s="322"/>
      <c r="I34" s="79">
        <v>20044</v>
      </c>
      <c r="J34" s="322">
        <v>22691</v>
      </c>
      <c r="K34" s="79">
        <v>10064</v>
      </c>
      <c r="L34" s="322">
        <v>11692</v>
      </c>
      <c r="M34" s="79">
        <v>23521</v>
      </c>
      <c r="N34" s="322">
        <v>25571</v>
      </c>
      <c r="O34" s="323">
        <f t="shared" si="0"/>
        <v>53629</v>
      </c>
      <c r="P34" s="638">
        <f t="shared" si="14"/>
        <v>0</v>
      </c>
      <c r="Q34" s="639" t="s">
        <v>949</v>
      </c>
      <c r="R34" s="90">
        <f t="shared" si="1"/>
        <v>1787.6333333333334</v>
      </c>
      <c r="S34" s="324">
        <f t="shared" si="2"/>
        <v>59954</v>
      </c>
      <c r="T34" s="638">
        <f t="shared" si="15"/>
        <v>0</v>
      </c>
      <c r="U34" s="639" t="s">
        <v>949</v>
      </c>
      <c r="V34" s="80">
        <f t="shared" si="3"/>
        <v>1998.4666666666667</v>
      </c>
      <c r="W34" s="79"/>
      <c r="X34" s="322"/>
      <c r="Y34" s="79"/>
      <c r="Z34" s="322"/>
      <c r="AA34" s="79"/>
      <c r="AB34" s="322"/>
      <c r="AC34" s="79"/>
      <c r="AD34" s="322"/>
      <c r="AE34" s="323">
        <f t="shared" si="4"/>
        <v>0</v>
      </c>
      <c r="AF34" s="638">
        <f t="shared" si="16"/>
        <v>0</v>
      </c>
      <c r="AG34" s="322"/>
      <c r="AH34" s="90">
        <f t="shared" si="5"/>
        <v>0</v>
      </c>
      <c r="AI34" s="80">
        <f t="shared" si="6"/>
        <v>0</v>
      </c>
      <c r="AJ34" s="638">
        <f t="shared" si="17"/>
        <v>0</v>
      </c>
      <c r="AK34" s="322"/>
      <c r="AL34" s="80">
        <f t="shared" si="7"/>
        <v>0</v>
      </c>
      <c r="AM34" s="79"/>
      <c r="AN34" s="322"/>
      <c r="AO34" s="79"/>
      <c r="AP34" s="322"/>
      <c r="AQ34" s="79"/>
      <c r="AR34" s="322"/>
      <c r="AS34" s="79"/>
      <c r="AT34" s="322"/>
      <c r="AU34" s="325">
        <f t="shared" si="8"/>
        <v>0</v>
      </c>
      <c r="AV34" s="90">
        <f t="shared" si="9"/>
        <v>0</v>
      </c>
      <c r="AW34" s="324">
        <f t="shared" si="10"/>
        <v>0</v>
      </c>
      <c r="AX34" s="80">
        <f t="shared" si="11"/>
        <v>0</v>
      </c>
      <c r="AY34" s="326">
        <f t="shared" si="12"/>
        <v>1787.6333333333334</v>
      </c>
      <c r="AZ34" s="80">
        <f t="shared" si="13"/>
        <v>1998.4666666666667</v>
      </c>
    </row>
    <row r="35" spans="1:52" s="96" customFormat="1">
      <c r="A35" s="91" t="s">
        <v>109</v>
      </c>
      <c r="B35" s="92" t="s">
        <v>140</v>
      </c>
      <c r="C35" s="218">
        <v>101301</v>
      </c>
      <c r="D35" s="106">
        <v>10</v>
      </c>
      <c r="E35" s="162" t="s">
        <v>442</v>
      </c>
      <c r="F35" s="163" t="s">
        <v>442</v>
      </c>
      <c r="G35" s="79"/>
      <c r="H35" s="322"/>
      <c r="I35" s="79">
        <v>18029</v>
      </c>
      <c r="J35" s="322">
        <v>19041</v>
      </c>
      <c r="K35" s="79">
        <v>11202</v>
      </c>
      <c r="L35" s="322">
        <v>13452</v>
      </c>
      <c r="M35" s="79">
        <v>18514</v>
      </c>
      <c r="N35" s="322">
        <v>20020</v>
      </c>
      <c r="O35" s="323">
        <f t="shared" si="0"/>
        <v>47745</v>
      </c>
      <c r="P35" s="638">
        <f t="shared" si="14"/>
        <v>0</v>
      </c>
      <c r="Q35" s="639" t="s">
        <v>949</v>
      </c>
      <c r="R35" s="90">
        <f t="shared" si="1"/>
        <v>1591.5</v>
      </c>
      <c r="S35" s="324">
        <f t="shared" si="2"/>
        <v>52513</v>
      </c>
      <c r="T35" s="638">
        <f t="shared" si="15"/>
        <v>0</v>
      </c>
      <c r="U35" s="639" t="s">
        <v>949</v>
      </c>
      <c r="V35" s="80">
        <f t="shared" si="3"/>
        <v>1750.4333333333334</v>
      </c>
      <c r="W35" s="79"/>
      <c r="X35" s="322"/>
      <c r="Y35" s="79"/>
      <c r="Z35" s="322"/>
      <c r="AA35" s="79"/>
      <c r="AB35" s="322"/>
      <c r="AC35" s="79"/>
      <c r="AD35" s="322"/>
      <c r="AE35" s="323">
        <f t="shared" si="4"/>
        <v>0</v>
      </c>
      <c r="AF35" s="638">
        <f t="shared" si="16"/>
        <v>0</v>
      </c>
      <c r="AG35" s="322"/>
      <c r="AH35" s="90">
        <f t="shared" si="5"/>
        <v>0</v>
      </c>
      <c r="AI35" s="80">
        <f t="shared" si="6"/>
        <v>0</v>
      </c>
      <c r="AJ35" s="638">
        <f t="shared" si="17"/>
        <v>0</v>
      </c>
      <c r="AK35" s="322"/>
      <c r="AL35" s="80">
        <f t="shared" si="7"/>
        <v>0</v>
      </c>
      <c r="AM35" s="79"/>
      <c r="AN35" s="322"/>
      <c r="AO35" s="79"/>
      <c r="AP35" s="322"/>
      <c r="AQ35" s="79"/>
      <c r="AR35" s="322"/>
      <c r="AS35" s="79"/>
      <c r="AT35" s="322"/>
      <c r="AU35" s="325">
        <f t="shared" si="8"/>
        <v>0</v>
      </c>
      <c r="AV35" s="90">
        <f t="shared" si="9"/>
        <v>0</v>
      </c>
      <c r="AW35" s="324">
        <f t="shared" si="10"/>
        <v>0</v>
      </c>
      <c r="AX35" s="80">
        <f t="shared" si="11"/>
        <v>0</v>
      </c>
      <c r="AY35" s="326">
        <f t="shared" si="12"/>
        <v>1591.5</v>
      </c>
      <c r="AZ35" s="80">
        <f t="shared" si="13"/>
        <v>1750.4333333333334</v>
      </c>
    </row>
    <row r="36" spans="1:52" s="96" customFormat="1">
      <c r="A36" s="91" t="s">
        <v>109</v>
      </c>
      <c r="B36" s="92" t="s">
        <v>141</v>
      </c>
      <c r="C36" s="218">
        <v>101499</v>
      </c>
      <c r="D36" s="106">
        <v>10</v>
      </c>
      <c r="E36" s="162" t="s">
        <v>442</v>
      </c>
      <c r="F36" s="163" t="s">
        <v>442</v>
      </c>
      <c r="G36" s="79"/>
      <c r="H36" s="322"/>
      <c r="I36" s="79">
        <v>12934</v>
      </c>
      <c r="J36" s="322">
        <v>12452</v>
      </c>
      <c r="K36" s="79">
        <v>6248</v>
      </c>
      <c r="L36" s="322">
        <v>6323</v>
      </c>
      <c r="M36" s="79">
        <v>13448</v>
      </c>
      <c r="N36" s="322">
        <v>12551</v>
      </c>
      <c r="O36" s="323">
        <f t="shared" si="0"/>
        <v>32630</v>
      </c>
      <c r="P36" s="638">
        <f t="shared" si="14"/>
        <v>0</v>
      </c>
      <c r="Q36" s="639" t="s">
        <v>949</v>
      </c>
      <c r="R36" s="90">
        <f t="shared" si="1"/>
        <v>1087.6666666666667</v>
      </c>
      <c r="S36" s="324">
        <f t="shared" si="2"/>
        <v>31326</v>
      </c>
      <c r="T36" s="638">
        <f t="shared" si="15"/>
        <v>0</v>
      </c>
      <c r="U36" s="639" t="s">
        <v>949</v>
      </c>
      <c r="V36" s="80">
        <f t="shared" si="3"/>
        <v>1044.2</v>
      </c>
      <c r="W36" s="79"/>
      <c r="X36" s="322"/>
      <c r="Y36" s="79"/>
      <c r="Z36" s="322"/>
      <c r="AA36" s="79"/>
      <c r="AB36" s="322"/>
      <c r="AC36" s="79"/>
      <c r="AD36" s="322"/>
      <c r="AE36" s="323">
        <f t="shared" si="4"/>
        <v>0</v>
      </c>
      <c r="AF36" s="638">
        <f t="shared" si="16"/>
        <v>0</v>
      </c>
      <c r="AG36" s="322"/>
      <c r="AH36" s="90">
        <f t="shared" si="5"/>
        <v>0</v>
      </c>
      <c r="AI36" s="80">
        <f t="shared" si="6"/>
        <v>0</v>
      </c>
      <c r="AJ36" s="638">
        <f t="shared" si="17"/>
        <v>0</v>
      </c>
      <c r="AK36" s="322"/>
      <c r="AL36" s="80">
        <f t="shared" si="7"/>
        <v>0</v>
      </c>
      <c r="AM36" s="79"/>
      <c r="AN36" s="322"/>
      <c r="AO36" s="79"/>
      <c r="AP36" s="322"/>
      <c r="AQ36" s="79"/>
      <c r="AR36" s="322"/>
      <c r="AS36" s="79"/>
      <c r="AT36" s="322"/>
      <c r="AU36" s="325">
        <f t="shared" si="8"/>
        <v>0</v>
      </c>
      <c r="AV36" s="90">
        <f t="shared" si="9"/>
        <v>0</v>
      </c>
      <c r="AW36" s="324">
        <f t="shared" si="10"/>
        <v>0</v>
      </c>
      <c r="AX36" s="80">
        <f t="shared" si="11"/>
        <v>0</v>
      </c>
      <c r="AY36" s="326">
        <f t="shared" si="12"/>
        <v>1087.6666666666667</v>
      </c>
      <c r="AZ36" s="80">
        <f t="shared" si="13"/>
        <v>1044.2</v>
      </c>
    </row>
    <row r="37" spans="1:52" s="96" customFormat="1">
      <c r="A37" s="91" t="s">
        <v>109</v>
      </c>
      <c r="B37" s="92" t="s">
        <v>142</v>
      </c>
      <c r="C37" s="218">
        <v>101602</v>
      </c>
      <c r="D37" s="93">
        <v>10</v>
      </c>
      <c r="E37" s="162" t="s">
        <v>442</v>
      </c>
      <c r="F37" s="163" t="s">
        <v>442</v>
      </c>
      <c r="G37" s="79"/>
      <c r="H37" s="322"/>
      <c r="I37" s="79">
        <v>15163</v>
      </c>
      <c r="J37" s="322">
        <v>16301</v>
      </c>
      <c r="K37" s="79">
        <v>8145</v>
      </c>
      <c r="L37" s="322">
        <v>8088</v>
      </c>
      <c r="M37" s="79">
        <v>17247</v>
      </c>
      <c r="N37" s="322">
        <v>17684</v>
      </c>
      <c r="O37" s="323">
        <f t="shared" si="0"/>
        <v>40555</v>
      </c>
      <c r="P37" s="638">
        <f t="shared" si="14"/>
        <v>0</v>
      </c>
      <c r="Q37" s="639" t="s">
        <v>949</v>
      </c>
      <c r="R37" s="90">
        <f t="shared" ref="R37:R67" si="18">+O37/30</f>
        <v>1351.8333333333333</v>
      </c>
      <c r="S37" s="324">
        <f t="shared" si="2"/>
        <v>42073</v>
      </c>
      <c r="T37" s="638">
        <f t="shared" si="15"/>
        <v>0</v>
      </c>
      <c r="U37" s="639" t="s">
        <v>949</v>
      </c>
      <c r="V37" s="80">
        <f t="shared" ref="V37:V67" si="19">+S37/30</f>
        <v>1402.4333333333334</v>
      </c>
      <c r="W37" s="79"/>
      <c r="X37" s="322"/>
      <c r="Y37" s="79"/>
      <c r="Z37" s="322"/>
      <c r="AA37" s="79"/>
      <c r="AB37" s="322"/>
      <c r="AC37" s="79"/>
      <c r="AD37" s="322"/>
      <c r="AE37" s="323">
        <f t="shared" si="4"/>
        <v>0</v>
      </c>
      <c r="AF37" s="638">
        <f t="shared" si="16"/>
        <v>0</v>
      </c>
      <c r="AG37" s="322"/>
      <c r="AH37" s="90">
        <f t="shared" si="5"/>
        <v>0</v>
      </c>
      <c r="AI37" s="80">
        <f t="shared" si="6"/>
        <v>0</v>
      </c>
      <c r="AJ37" s="638">
        <f t="shared" si="17"/>
        <v>0</v>
      </c>
      <c r="AK37" s="322"/>
      <c r="AL37" s="80">
        <f t="shared" si="7"/>
        <v>0</v>
      </c>
      <c r="AM37" s="79"/>
      <c r="AN37" s="322"/>
      <c r="AO37" s="79"/>
      <c r="AP37" s="322"/>
      <c r="AQ37" s="79"/>
      <c r="AR37" s="322"/>
      <c r="AS37" s="79"/>
      <c r="AT37" s="322"/>
      <c r="AU37" s="325">
        <f t="shared" si="8"/>
        <v>0</v>
      </c>
      <c r="AV37" s="90">
        <f t="shared" ref="AV37:AV67" si="20">+AU37/24</f>
        <v>0</v>
      </c>
      <c r="AW37" s="324">
        <f t="shared" si="10"/>
        <v>0</v>
      </c>
      <c r="AX37" s="80">
        <f t="shared" ref="AX37:AX67" si="21">+AW37/24</f>
        <v>0</v>
      </c>
      <c r="AY37" s="326">
        <f t="shared" si="12"/>
        <v>1351.8333333333333</v>
      </c>
      <c r="AZ37" s="80">
        <f t="shared" si="13"/>
        <v>1402.4333333333334</v>
      </c>
    </row>
    <row r="38" spans="1:52" s="96" customFormat="1">
      <c r="A38" s="91" t="s">
        <v>109</v>
      </c>
      <c r="B38" s="92" t="s">
        <v>143</v>
      </c>
      <c r="C38" s="218">
        <v>101897</v>
      </c>
      <c r="D38" s="93">
        <v>10</v>
      </c>
      <c r="E38" s="162" t="s">
        <v>442</v>
      </c>
      <c r="F38" s="163" t="s">
        <v>442</v>
      </c>
      <c r="G38" s="79"/>
      <c r="H38" s="322"/>
      <c r="I38" s="79">
        <v>22742</v>
      </c>
      <c r="J38" s="322">
        <v>23798</v>
      </c>
      <c r="K38" s="79">
        <v>10122</v>
      </c>
      <c r="L38" s="322">
        <v>10566</v>
      </c>
      <c r="M38" s="79">
        <v>25214</v>
      </c>
      <c r="N38" s="322">
        <v>28468</v>
      </c>
      <c r="O38" s="323">
        <f t="shared" si="0"/>
        <v>58078</v>
      </c>
      <c r="P38" s="638">
        <f t="shared" si="14"/>
        <v>0</v>
      </c>
      <c r="Q38" s="639" t="s">
        <v>949</v>
      </c>
      <c r="R38" s="90">
        <f t="shared" si="18"/>
        <v>1935.9333333333334</v>
      </c>
      <c r="S38" s="324">
        <f t="shared" si="2"/>
        <v>62832</v>
      </c>
      <c r="T38" s="638">
        <f t="shared" si="15"/>
        <v>0</v>
      </c>
      <c r="U38" s="639" t="s">
        <v>949</v>
      </c>
      <c r="V38" s="80">
        <f t="shared" si="19"/>
        <v>2094.4</v>
      </c>
      <c r="W38" s="79"/>
      <c r="X38" s="322"/>
      <c r="Y38" s="79"/>
      <c r="Z38" s="322"/>
      <c r="AA38" s="79"/>
      <c r="AB38" s="322"/>
      <c r="AC38" s="79"/>
      <c r="AD38" s="322"/>
      <c r="AE38" s="323">
        <f t="shared" si="4"/>
        <v>0</v>
      </c>
      <c r="AF38" s="638">
        <f t="shared" si="16"/>
        <v>0</v>
      </c>
      <c r="AG38" s="322"/>
      <c r="AH38" s="90">
        <f t="shared" si="5"/>
        <v>0</v>
      </c>
      <c r="AI38" s="80">
        <f t="shared" si="6"/>
        <v>0</v>
      </c>
      <c r="AJ38" s="638">
        <f t="shared" si="17"/>
        <v>0</v>
      </c>
      <c r="AK38" s="322"/>
      <c r="AL38" s="80">
        <f t="shared" si="7"/>
        <v>0</v>
      </c>
      <c r="AM38" s="79"/>
      <c r="AN38" s="322"/>
      <c r="AO38" s="79"/>
      <c r="AP38" s="322"/>
      <c r="AQ38" s="79"/>
      <c r="AR38" s="322"/>
      <c r="AS38" s="79"/>
      <c r="AT38" s="322"/>
      <c r="AU38" s="325">
        <f t="shared" si="8"/>
        <v>0</v>
      </c>
      <c r="AV38" s="90">
        <f t="shared" si="20"/>
        <v>0</v>
      </c>
      <c r="AW38" s="324">
        <f t="shared" si="10"/>
        <v>0</v>
      </c>
      <c r="AX38" s="80">
        <f t="shared" si="21"/>
        <v>0</v>
      </c>
      <c r="AY38" s="326">
        <f t="shared" si="12"/>
        <v>1935.9333333333334</v>
      </c>
      <c r="AZ38" s="80">
        <f t="shared" si="13"/>
        <v>2094.4</v>
      </c>
    </row>
    <row r="39" spans="1:52" s="96" customFormat="1">
      <c r="A39" s="91" t="s">
        <v>109</v>
      </c>
      <c r="B39" s="92" t="s">
        <v>144</v>
      </c>
      <c r="C39" s="218">
        <v>102076</v>
      </c>
      <c r="D39" s="93">
        <v>10</v>
      </c>
      <c r="E39" s="162" t="s">
        <v>442</v>
      </c>
      <c r="F39" s="163" t="s">
        <v>442</v>
      </c>
      <c r="G39" s="79"/>
      <c r="H39" s="322"/>
      <c r="I39" s="79">
        <v>20731</v>
      </c>
      <c r="J39" s="322">
        <v>21524</v>
      </c>
      <c r="K39" s="79">
        <v>8079</v>
      </c>
      <c r="L39" s="322">
        <v>8752</v>
      </c>
      <c r="M39" s="79">
        <v>22615</v>
      </c>
      <c r="N39" s="322">
        <v>23414</v>
      </c>
      <c r="O39" s="323">
        <f t="shared" si="0"/>
        <v>51425</v>
      </c>
      <c r="P39" s="638">
        <f t="shared" si="14"/>
        <v>0</v>
      </c>
      <c r="Q39" s="639" t="s">
        <v>949</v>
      </c>
      <c r="R39" s="90">
        <f t="shared" si="18"/>
        <v>1714.1666666666667</v>
      </c>
      <c r="S39" s="324">
        <f t="shared" si="2"/>
        <v>53690</v>
      </c>
      <c r="T39" s="638">
        <f t="shared" si="15"/>
        <v>0</v>
      </c>
      <c r="U39" s="639" t="s">
        <v>949</v>
      </c>
      <c r="V39" s="80">
        <f t="shared" si="19"/>
        <v>1789.6666666666667</v>
      </c>
      <c r="W39" s="79"/>
      <c r="X39" s="322"/>
      <c r="Y39" s="79"/>
      <c r="Z39" s="322"/>
      <c r="AA39" s="79"/>
      <c r="AB39" s="322"/>
      <c r="AC39" s="79"/>
      <c r="AD39" s="322"/>
      <c r="AE39" s="323">
        <f t="shared" si="4"/>
        <v>0</v>
      </c>
      <c r="AF39" s="638">
        <f t="shared" si="16"/>
        <v>0</v>
      </c>
      <c r="AG39" s="322"/>
      <c r="AH39" s="90">
        <f t="shared" si="5"/>
        <v>0</v>
      </c>
      <c r="AI39" s="80">
        <f t="shared" si="6"/>
        <v>0</v>
      </c>
      <c r="AJ39" s="638">
        <f t="shared" si="17"/>
        <v>0</v>
      </c>
      <c r="AK39" s="322"/>
      <c r="AL39" s="80">
        <f t="shared" si="7"/>
        <v>0</v>
      </c>
      <c r="AM39" s="79"/>
      <c r="AN39" s="322"/>
      <c r="AO39" s="79"/>
      <c r="AP39" s="322"/>
      <c r="AQ39" s="79"/>
      <c r="AR39" s="322"/>
      <c r="AS39" s="79"/>
      <c r="AT39" s="322"/>
      <c r="AU39" s="325">
        <f t="shared" si="8"/>
        <v>0</v>
      </c>
      <c r="AV39" s="90">
        <f t="shared" si="20"/>
        <v>0</v>
      </c>
      <c r="AW39" s="324">
        <f t="shared" si="10"/>
        <v>0</v>
      </c>
      <c r="AX39" s="80">
        <f t="shared" si="21"/>
        <v>0</v>
      </c>
      <c r="AY39" s="326">
        <f t="shared" si="12"/>
        <v>1714.1666666666667</v>
      </c>
      <c r="AZ39" s="80">
        <f t="shared" si="13"/>
        <v>1789.6666666666667</v>
      </c>
    </row>
    <row r="40" spans="1:52" s="96" customFormat="1">
      <c r="A40" s="91" t="s">
        <v>109</v>
      </c>
      <c r="B40" s="92" t="s">
        <v>145</v>
      </c>
      <c r="C40" s="218">
        <v>102313</v>
      </c>
      <c r="D40" s="93">
        <v>12</v>
      </c>
      <c r="E40" s="162" t="s">
        <v>442</v>
      </c>
      <c r="F40" s="163" t="s">
        <v>442</v>
      </c>
      <c r="G40" s="79"/>
      <c r="H40" s="322"/>
      <c r="I40" s="79">
        <v>13045</v>
      </c>
      <c r="J40" s="322">
        <v>13051</v>
      </c>
      <c r="K40" s="79">
        <v>9496</v>
      </c>
      <c r="L40" s="322">
        <v>9703</v>
      </c>
      <c r="M40" s="79">
        <v>13675</v>
      </c>
      <c r="N40" s="322">
        <v>14004</v>
      </c>
      <c r="O40" s="323">
        <f t="shared" si="0"/>
        <v>36216</v>
      </c>
      <c r="P40" s="638">
        <f t="shared" si="14"/>
        <v>0</v>
      </c>
      <c r="Q40" s="639" t="s">
        <v>949</v>
      </c>
      <c r="R40" s="90">
        <f t="shared" si="18"/>
        <v>1207.2</v>
      </c>
      <c r="S40" s="324">
        <f t="shared" si="2"/>
        <v>36758</v>
      </c>
      <c r="T40" s="638">
        <f t="shared" si="15"/>
        <v>0</v>
      </c>
      <c r="U40" s="639" t="s">
        <v>949</v>
      </c>
      <c r="V40" s="80">
        <f t="shared" si="19"/>
        <v>1225.2666666666667</v>
      </c>
      <c r="W40" s="79"/>
      <c r="X40" s="322"/>
      <c r="Y40" s="79"/>
      <c r="Z40" s="322"/>
      <c r="AA40" s="79"/>
      <c r="AB40" s="322"/>
      <c r="AC40" s="79"/>
      <c r="AD40" s="322"/>
      <c r="AE40" s="323">
        <f t="shared" si="4"/>
        <v>0</v>
      </c>
      <c r="AF40" s="638">
        <f t="shared" si="16"/>
        <v>0</v>
      </c>
      <c r="AG40" s="322"/>
      <c r="AH40" s="90">
        <f t="shared" si="5"/>
        <v>0</v>
      </c>
      <c r="AI40" s="80">
        <f t="shared" si="6"/>
        <v>0</v>
      </c>
      <c r="AJ40" s="638">
        <f t="shared" si="17"/>
        <v>0</v>
      </c>
      <c r="AK40" s="322"/>
      <c r="AL40" s="80">
        <f t="shared" si="7"/>
        <v>0</v>
      </c>
      <c r="AM40" s="79"/>
      <c r="AN40" s="322"/>
      <c r="AO40" s="79"/>
      <c r="AP40" s="322"/>
      <c r="AQ40" s="79"/>
      <c r="AR40" s="322"/>
      <c r="AS40" s="79"/>
      <c r="AT40" s="322"/>
      <c r="AU40" s="325">
        <f t="shared" si="8"/>
        <v>0</v>
      </c>
      <c r="AV40" s="90">
        <f t="shared" si="20"/>
        <v>0</v>
      </c>
      <c r="AW40" s="324">
        <f t="shared" si="10"/>
        <v>0</v>
      </c>
      <c r="AX40" s="80">
        <f t="shared" si="21"/>
        <v>0</v>
      </c>
      <c r="AY40" s="326">
        <f t="shared" si="12"/>
        <v>1207.2</v>
      </c>
      <c r="AZ40" s="80">
        <f t="shared" si="13"/>
        <v>1225.2666666666667</v>
      </c>
    </row>
    <row r="41" spans="1:52" s="96" customFormat="1">
      <c r="A41" s="91" t="s">
        <v>109</v>
      </c>
      <c r="B41" s="92" t="s">
        <v>146</v>
      </c>
      <c r="C41" s="218">
        <v>101462</v>
      </c>
      <c r="D41" s="106">
        <v>13</v>
      </c>
      <c r="E41" s="162" t="s">
        <v>442</v>
      </c>
      <c r="F41" s="163" t="s">
        <v>442</v>
      </c>
      <c r="G41" s="79"/>
      <c r="H41" s="322"/>
      <c r="I41" s="79">
        <v>6638</v>
      </c>
      <c r="J41" s="322">
        <v>6902</v>
      </c>
      <c r="K41" s="79">
        <v>4004</v>
      </c>
      <c r="L41" s="322">
        <v>3944</v>
      </c>
      <c r="M41" s="79">
        <v>7535</v>
      </c>
      <c r="N41" s="322">
        <v>8662</v>
      </c>
      <c r="O41" s="323">
        <f t="shared" si="0"/>
        <v>18177</v>
      </c>
      <c r="P41" s="638">
        <f t="shared" si="14"/>
        <v>0</v>
      </c>
      <c r="Q41" s="639" t="s">
        <v>949</v>
      </c>
      <c r="R41" s="90">
        <f t="shared" si="18"/>
        <v>605.9</v>
      </c>
      <c r="S41" s="324">
        <f t="shared" si="2"/>
        <v>19508</v>
      </c>
      <c r="T41" s="638">
        <f t="shared" si="15"/>
        <v>0</v>
      </c>
      <c r="U41" s="639" t="s">
        <v>949</v>
      </c>
      <c r="V41" s="80">
        <f t="shared" si="19"/>
        <v>650.26666666666665</v>
      </c>
      <c r="W41" s="79"/>
      <c r="X41" s="322"/>
      <c r="Y41" s="79"/>
      <c r="Z41" s="322"/>
      <c r="AA41" s="79"/>
      <c r="AB41" s="322"/>
      <c r="AC41" s="79"/>
      <c r="AD41" s="322"/>
      <c r="AE41" s="323">
        <f t="shared" si="4"/>
        <v>0</v>
      </c>
      <c r="AF41" s="638">
        <f t="shared" si="16"/>
        <v>0</v>
      </c>
      <c r="AG41" s="322"/>
      <c r="AH41" s="90">
        <f t="shared" si="5"/>
        <v>0</v>
      </c>
      <c r="AI41" s="80">
        <f t="shared" si="6"/>
        <v>0</v>
      </c>
      <c r="AJ41" s="638">
        <f t="shared" si="17"/>
        <v>0</v>
      </c>
      <c r="AK41" s="322"/>
      <c r="AL41" s="80">
        <f t="shared" si="7"/>
        <v>0</v>
      </c>
      <c r="AM41" s="79"/>
      <c r="AN41" s="322"/>
      <c r="AO41" s="79"/>
      <c r="AP41" s="322"/>
      <c r="AQ41" s="79"/>
      <c r="AR41" s="322"/>
      <c r="AS41" s="79"/>
      <c r="AT41" s="322"/>
      <c r="AU41" s="325">
        <f t="shared" si="8"/>
        <v>0</v>
      </c>
      <c r="AV41" s="90">
        <f t="shared" si="20"/>
        <v>0</v>
      </c>
      <c r="AW41" s="324">
        <f t="shared" si="10"/>
        <v>0</v>
      </c>
      <c r="AX41" s="80">
        <f t="shared" si="21"/>
        <v>0</v>
      </c>
      <c r="AY41" s="326">
        <f t="shared" si="12"/>
        <v>605.9</v>
      </c>
      <c r="AZ41" s="80">
        <f t="shared" si="13"/>
        <v>650.26666666666665</v>
      </c>
    </row>
    <row r="42" spans="1:52" s="96" customFormat="1">
      <c r="A42" s="91" t="s">
        <v>109</v>
      </c>
      <c r="B42" s="92" t="s">
        <v>147</v>
      </c>
      <c r="C42" s="218">
        <v>101471</v>
      </c>
      <c r="D42" s="106">
        <v>13</v>
      </c>
      <c r="E42" s="162" t="s">
        <v>442</v>
      </c>
      <c r="F42" s="163" t="s">
        <v>442</v>
      </c>
      <c r="G42" s="79"/>
      <c r="H42" s="322"/>
      <c r="I42" s="79">
        <v>8007</v>
      </c>
      <c r="J42" s="322">
        <v>6994</v>
      </c>
      <c r="K42" s="79">
        <v>7411</v>
      </c>
      <c r="L42" s="322">
        <v>6866</v>
      </c>
      <c r="M42" s="79">
        <v>7899</v>
      </c>
      <c r="N42" s="322">
        <v>7565</v>
      </c>
      <c r="O42" s="323">
        <f t="shared" si="0"/>
        <v>23317</v>
      </c>
      <c r="P42" s="638">
        <f t="shared" si="14"/>
        <v>0</v>
      </c>
      <c r="Q42" s="639" t="s">
        <v>949</v>
      </c>
      <c r="R42" s="90">
        <f t="shared" si="18"/>
        <v>777.23333333333335</v>
      </c>
      <c r="S42" s="324">
        <f t="shared" si="2"/>
        <v>21425</v>
      </c>
      <c r="T42" s="638">
        <f t="shared" si="15"/>
        <v>0</v>
      </c>
      <c r="U42" s="639" t="s">
        <v>949</v>
      </c>
      <c r="V42" s="80">
        <f t="shared" si="19"/>
        <v>714.16666666666663</v>
      </c>
      <c r="W42" s="79"/>
      <c r="X42" s="322"/>
      <c r="Y42" s="79"/>
      <c r="Z42" s="322"/>
      <c r="AA42" s="79"/>
      <c r="AB42" s="322"/>
      <c r="AC42" s="79"/>
      <c r="AD42" s="322"/>
      <c r="AE42" s="323">
        <f t="shared" si="4"/>
        <v>0</v>
      </c>
      <c r="AF42" s="638">
        <f t="shared" si="16"/>
        <v>0</v>
      </c>
      <c r="AG42" s="322"/>
      <c r="AH42" s="90">
        <f t="shared" si="5"/>
        <v>0</v>
      </c>
      <c r="AI42" s="80">
        <f t="shared" si="6"/>
        <v>0</v>
      </c>
      <c r="AJ42" s="638">
        <f t="shared" si="17"/>
        <v>0</v>
      </c>
      <c r="AK42" s="322"/>
      <c r="AL42" s="80">
        <f t="shared" si="7"/>
        <v>0</v>
      </c>
      <c r="AM42" s="79"/>
      <c r="AN42" s="322"/>
      <c r="AO42" s="79"/>
      <c r="AP42" s="322"/>
      <c r="AQ42" s="79"/>
      <c r="AR42" s="322"/>
      <c r="AS42" s="79"/>
      <c r="AT42" s="322"/>
      <c r="AU42" s="325">
        <f t="shared" si="8"/>
        <v>0</v>
      </c>
      <c r="AV42" s="90">
        <f t="shared" si="20"/>
        <v>0</v>
      </c>
      <c r="AW42" s="324">
        <f t="shared" si="10"/>
        <v>0</v>
      </c>
      <c r="AX42" s="80">
        <f t="shared" si="21"/>
        <v>0</v>
      </c>
      <c r="AY42" s="326">
        <f t="shared" si="12"/>
        <v>777.23333333333335</v>
      </c>
      <c r="AZ42" s="80">
        <f t="shared" si="13"/>
        <v>714.16666666666663</v>
      </c>
    </row>
    <row r="43" spans="1:52" s="96" customFormat="1">
      <c r="A43" s="91" t="s">
        <v>109</v>
      </c>
      <c r="B43" s="92" t="s">
        <v>148</v>
      </c>
      <c r="C43" s="218">
        <v>101994</v>
      </c>
      <c r="D43" s="93">
        <v>13</v>
      </c>
      <c r="E43" s="162" t="s">
        <v>442</v>
      </c>
      <c r="F43" s="163" t="s">
        <v>442</v>
      </c>
      <c r="G43" s="79"/>
      <c r="H43" s="322"/>
      <c r="I43" s="79">
        <v>4901</v>
      </c>
      <c r="J43" s="322">
        <v>5274</v>
      </c>
      <c r="K43" s="79">
        <v>3289</v>
      </c>
      <c r="L43" s="322">
        <v>3811</v>
      </c>
      <c r="M43" s="79">
        <v>6208</v>
      </c>
      <c r="N43" s="322">
        <v>6547</v>
      </c>
      <c r="O43" s="323">
        <f t="shared" si="0"/>
        <v>14398</v>
      </c>
      <c r="P43" s="638">
        <f t="shared" si="14"/>
        <v>0</v>
      </c>
      <c r="Q43" s="639" t="s">
        <v>949</v>
      </c>
      <c r="R43" s="90">
        <f t="shared" si="18"/>
        <v>479.93333333333334</v>
      </c>
      <c r="S43" s="324">
        <f t="shared" si="2"/>
        <v>15632</v>
      </c>
      <c r="T43" s="638">
        <f t="shared" si="15"/>
        <v>0</v>
      </c>
      <c r="U43" s="639" t="s">
        <v>949</v>
      </c>
      <c r="V43" s="80">
        <f t="shared" si="19"/>
        <v>521.06666666666672</v>
      </c>
      <c r="W43" s="79"/>
      <c r="X43" s="322"/>
      <c r="Y43" s="79"/>
      <c r="Z43" s="322"/>
      <c r="AA43" s="79"/>
      <c r="AB43" s="322"/>
      <c r="AC43" s="79"/>
      <c r="AD43" s="322"/>
      <c r="AE43" s="323">
        <f t="shared" si="4"/>
        <v>0</v>
      </c>
      <c r="AF43" s="638">
        <f t="shared" si="16"/>
        <v>0</v>
      </c>
      <c r="AG43" s="322"/>
      <c r="AH43" s="90">
        <f t="shared" si="5"/>
        <v>0</v>
      </c>
      <c r="AI43" s="80">
        <f t="shared" si="6"/>
        <v>0</v>
      </c>
      <c r="AJ43" s="638">
        <f t="shared" si="17"/>
        <v>0</v>
      </c>
      <c r="AK43" s="322"/>
      <c r="AL43" s="80">
        <f t="shared" si="7"/>
        <v>0</v>
      </c>
      <c r="AM43" s="79"/>
      <c r="AN43" s="322"/>
      <c r="AO43" s="79"/>
      <c r="AP43" s="322"/>
      <c r="AQ43" s="79"/>
      <c r="AR43" s="322"/>
      <c r="AS43" s="79"/>
      <c r="AT43" s="322"/>
      <c r="AU43" s="325">
        <f t="shared" si="8"/>
        <v>0</v>
      </c>
      <c r="AV43" s="90">
        <f t="shared" si="20"/>
        <v>0</v>
      </c>
      <c r="AW43" s="324">
        <f t="shared" si="10"/>
        <v>0</v>
      </c>
      <c r="AX43" s="80">
        <f t="shared" si="21"/>
        <v>0</v>
      </c>
      <c r="AY43" s="326">
        <f t="shared" si="12"/>
        <v>479.93333333333334</v>
      </c>
      <c r="AZ43" s="80">
        <f t="shared" si="13"/>
        <v>521.06666666666672</v>
      </c>
    </row>
    <row r="44" spans="1:52">
      <c r="A44" s="188" t="s">
        <v>833</v>
      </c>
      <c r="B44" s="189" t="s">
        <v>834</v>
      </c>
      <c r="C44" s="219">
        <v>106397</v>
      </c>
      <c r="D44" s="193">
        <v>1</v>
      </c>
      <c r="E44" s="162" t="s">
        <v>442</v>
      </c>
      <c r="F44" s="163" t="s">
        <v>442</v>
      </c>
      <c r="G44" s="79"/>
      <c r="H44" s="322"/>
      <c r="I44" s="79">
        <v>177483</v>
      </c>
      <c r="J44" s="322">
        <v>185896</v>
      </c>
      <c r="K44" s="79">
        <v>33368</v>
      </c>
      <c r="L44" s="322">
        <v>34584</v>
      </c>
      <c r="M44" s="79">
        <v>199268</v>
      </c>
      <c r="N44" s="322">
        <v>207970</v>
      </c>
      <c r="O44" s="323">
        <f t="shared" si="0"/>
        <v>410119</v>
      </c>
      <c r="P44" s="638">
        <f t="shared" si="14"/>
        <v>410119</v>
      </c>
      <c r="Q44" s="322">
        <v>159</v>
      </c>
      <c r="R44" s="90">
        <f t="shared" si="18"/>
        <v>13670.633333333333</v>
      </c>
      <c r="S44" s="324">
        <f t="shared" si="2"/>
        <v>428450</v>
      </c>
      <c r="T44" s="638">
        <f t="shared" si="15"/>
        <v>428450</v>
      </c>
      <c r="U44" s="322">
        <v>101</v>
      </c>
      <c r="V44" s="80">
        <f t="shared" si="19"/>
        <v>14281.666666666666</v>
      </c>
      <c r="W44" s="79"/>
      <c r="X44" s="322"/>
      <c r="Y44" s="79"/>
      <c r="Z44" s="322"/>
      <c r="AA44" s="79"/>
      <c r="AB44" s="322"/>
      <c r="AC44" s="79"/>
      <c r="AD44" s="322"/>
      <c r="AE44" s="323">
        <f t="shared" si="4"/>
        <v>0</v>
      </c>
      <c r="AF44" s="638">
        <f t="shared" si="16"/>
        <v>0</v>
      </c>
      <c r="AG44" s="322"/>
      <c r="AH44" s="90">
        <f t="shared" si="5"/>
        <v>0</v>
      </c>
      <c r="AI44" s="80">
        <f t="shared" si="6"/>
        <v>0</v>
      </c>
      <c r="AJ44" s="638">
        <f t="shared" si="17"/>
        <v>0</v>
      </c>
      <c r="AK44" s="322"/>
      <c r="AL44" s="80">
        <f t="shared" si="7"/>
        <v>0</v>
      </c>
      <c r="AM44" s="79"/>
      <c r="AN44" s="322"/>
      <c r="AO44" s="79">
        <v>28958</v>
      </c>
      <c r="AP44" s="322">
        <v>29066</v>
      </c>
      <c r="AQ44" s="79">
        <v>9604</v>
      </c>
      <c r="AR44" s="322">
        <v>10609</v>
      </c>
      <c r="AS44" s="79">
        <v>29650</v>
      </c>
      <c r="AT44" s="322">
        <v>30094</v>
      </c>
      <c r="AU44" s="325">
        <f t="shared" si="8"/>
        <v>68212</v>
      </c>
      <c r="AV44" s="90">
        <f t="shared" si="20"/>
        <v>2842.1666666666665</v>
      </c>
      <c r="AW44" s="324">
        <f t="shared" si="10"/>
        <v>69769</v>
      </c>
      <c r="AX44" s="80">
        <f t="shared" si="21"/>
        <v>2907.0416666666665</v>
      </c>
      <c r="AY44" s="326">
        <f t="shared" si="12"/>
        <v>16512.8</v>
      </c>
      <c r="AZ44" s="80">
        <f t="shared" si="13"/>
        <v>17188.708333333332</v>
      </c>
    </row>
    <row r="45" spans="1:52">
      <c r="A45" s="188" t="s">
        <v>833</v>
      </c>
      <c r="B45" s="189" t="s">
        <v>835</v>
      </c>
      <c r="C45" s="219">
        <v>106458</v>
      </c>
      <c r="D45" s="190">
        <v>3</v>
      </c>
      <c r="E45" s="162" t="s">
        <v>442</v>
      </c>
      <c r="F45" s="163" t="s">
        <v>442</v>
      </c>
      <c r="G45" s="79"/>
      <c r="H45" s="322"/>
      <c r="I45" s="79">
        <v>110427</v>
      </c>
      <c r="J45" s="322">
        <v>115710</v>
      </c>
      <c r="K45" s="79">
        <v>18184</v>
      </c>
      <c r="L45" s="322">
        <v>20573</v>
      </c>
      <c r="M45" s="79">
        <v>123196</v>
      </c>
      <c r="N45" s="322">
        <v>123547</v>
      </c>
      <c r="O45" s="323">
        <f t="shared" si="0"/>
        <v>251807</v>
      </c>
      <c r="P45" s="638">
        <f t="shared" si="14"/>
        <v>251807</v>
      </c>
      <c r="Q45" s="322">
        <v>3592</v>
      </c>
      <c r="R45" s="90">
        <f t="shared" si="18"/>
        <v>8393.5666666666675</v>
      </c>
      <c r="S45" s="324">
        <f t="shared" si="2"/>
        <v>259830</v>
      </c>
      <c r="T45" s="638">
        <f t="shared" si="15"/>
        <v>259830</v>
      </c>
      <c r="U45" s="322">
        <v>3632</v>
      </c>
      <c r="V45" s="80">
        <f t="shared" si="19"/>
        <v>8661</v>
      </c>
      <c r="W45" s="79"/>
      <c r="X45" s="322"/>
      <c r="Y45" s="79"/>
      <c r="Z45" s="322"/>
      <c r="AA45" s="79"/>
      <c r="AB45" s="322"/>
      <c r="AC45" s="79"/>
      <c r="AD45" s="322"/>
      <c r="AE45" s="323">
        <f t="shared" si="4"/>
        <v>0</v>
      </c>
      <c r="AF45" s="638">
        <f t="shared" si="16"/>
        <v>0</v>
      </c>
      <c r="AG45" s="322"/>
      <c r="AH45" s="90">
        <f t="shared" si="5"/>
        <v>0</v>
      </c>
      <c r="AI45" s="80">
        <f t="shared" si="6"/>
        <v>0</v>
      </c>
      <c r="AJ45" s="638">
        <f t="shared" si="17"/>
        <v>0</v>
      </c>
      <c r="AK45" s="322"/>
      <c r="AL45" s="80">
        <f t="shared" si="7"/>
        <v>0</v>
      </c>
      <c r="AM45" s="79"/>
      <c r="AN45" s="322"/>
      <c r="AO45" s="79">
        <v>9193</v>
      </c>
      <c r="AP45" s="322">
        <v>10341</v>
      </c>
      <c r="AQ45" s="79">
        <v>6903</v>
      </c>
      <c r="AR45" s="322">
        <v>6721</v>
      </c>
      <c r="AS45" s="79">
        <v>9499</v>
      </c>
      <c r="AT45" s="322">
        <v>11566</v>
      </c>
      <c r="AU45" s="325">
        <f t="shared" si="8"/>
        <v>25595</v>
      </c>
      <c r="AV45" s="90">
        <f t="shared" si="20"/>
        <v>1066.4583333333333</v>
      </c>
      <c r="AW45" s="324">
        <f t="shared" si="10"/>
        <v>28628</v>
      </c>
      <c r="AX45" s="80">
        <f t="shared" si="21"/>
        <v>1192.8333333333333</v>
      </c>
      <c r="AY45" s="326">
        <f t="shared" si="12"/>
        <v>9460.0250000000015</v>
      </c>
      <c r="AZ45" s="80">
        <f t="shared" si="13"/>
        <v>9853.8333333333339</v>
      </c>
    </row>
    <row r="46" spans="1:52">
      <c r="A46" s="188" t="s">
        <v>833</v>
      </c>
      <c r="B46" s="191" t="s">
        <v>836</v>
      </c>
      <c r="C46" s="219">
        <v>106245</v>
      </c>
      <c r="D46" s="190">
        <v>3</v>
      </c>
      <c r="E46" s="162" t="s">
        <v>442</v>
      </c>
      <c r="F46" s="163" t="s">
        <v>442</v>
      </c>
      <c r="G46" s="79"/>
      <c r="H46" s="322"/>
      <c r="I46" s="79">
        <v>92342</v>
      </c>
      <c r="J46" s="322">
        <v>93281</v>
      </c>
      <c r="K46" s="79">
        <v>21380</v>
      </c>
      <c r="L46" s="322">
        <v>21520</v>
      </c>
      <c r="M46" s="79">
        <v>98628</v>
      </c>
      <c r="N46" s="322">
        <v>98346</v>
      </c>
      <c r="O46" s="323">
        <f t="shared" si="0"/>
        <v>212350</v>
      </c>
      <c r="P46" s="638">
        <f t="shared" si="14"/>
        <v>212350</v>
      </c>
      <c r="Q46" s="322">
        <v>4148</v>
      </c>
      <c r="R46" s="90">
        <f t="shared" si="18"/>
        <v>7078.333333333333</v>
      </c>
      <c r="S46" s="324">
        <f t="shared" si="2"/>
        <v>213147</v>
      </c>
      <c r="T46" s="638">
        <f t="shared" si="15"/>
        <v>213147</v>
      </c>
      <c r="U46" s="322">
        <v>6221</v>
      </c>
      <c r="V46" s="80">
        <f t="shared" si="19"/>
        <v>7104.9</v>
      </c>
      <c r="W46" s="79"/>
      <c r="X46" s="322"/>
      <c r="Y46" s="79"/>
      <c r="Z46" s="322"/>
      <c r="AA46" s="79"/>
      <c r="AB46" s="322"/>
      <c r="AC46" s="79"/>
      <c r="AD46" s="322"/>
      <c r="AE46" s="323">
        <f t="shared" si="4"/>
        <v>0</v>
      </c>
      <c r="AF46" s="638">
        <f t="shared" si="16"/>
        <v>0</v>
      </c>
      <c r="AG46" s="322"/>
      <c r="AH46" s="90">
        <f t="shared" si="5"/>
        <v>0</v>
      </c>
      <c r="AI46" s="80">
        <f t="shared" si="6"/>
        <v>0</v>
      </c>
      <c r="AJ46" s="638">
        <f t="shared" si="17"/>
        <v>0</v>
      </c>
      <c r="AK46" s="322"/>
      <c r="AL46" s="80">
        <f t="shared" si="7"/>
        <v>0</v>
      </c>
      <c r="AM46" s="79"/>
      <c r="AN46" s="322"/>
      <c r="AO46" s="79">
        <v>18841</v>
      </c>
      <c r="AP46" s="322">
        <v>19630</v>
      </c>
      <c r="AQ46" s="79">
        <v>7318</v>
      </c>
      <c r="AR46" s="322">
        <v>7907</v>
      </c>
      <c r="AS46" s="79">
        <v>23155</v>
      </c>
      <c r="AT46" s="322">
        <v>21268</v>
      </c>
      <c r="AU46" s="325">
        <f t="shared" si="8"/>
        <v>49314</v>
      </c>
      <c r="AV46" s="90">
        <f t="shared" si="20"/>
        <v>2054.75</v>
      </c>
      <c r="AW46" s="324">
        <f t="shared" si="10"/>
        <v>48805</v>
      </c>
      <c r="AX46" s="80">
        <f t="shared" si="21"/>
        <v>2033.5416666666667</v>
      </c>
      <c r="AY46" s="326">
        <f t="shared" si="12"/>
        <v>9133.0833333333321</v>
      </c>
      <c r="AZ46" s="80">
        <f t="shared" si="13"/>
        <v>9138.4416666666657</v>
      </c>
    </row>
    <row r="47" spans="1:52">
      <c r="A47" s="188" t="s">
        <v>833</v>
      </c>
      <c r="B47" s="191" t="s">
        <v>837</v>
      </c>
      <c r="C47" s="219">
        <v>106704</v>
      </c>
      <c r="D47" s="190">
        <v>3</v>
      </c>
      <c r="E47" s="162" t="s">
        <v>442</v>
      </c>
      <c r="F47" s="163" t="s">
        <v>442</v>
      </c>
      <c r="G47" s="79"/>
      <c r="H47" s="322"/>
      <c r="I47" s="79">
        <v>135770</v>
      </c>
      <c r="J47" s="322">
        <v>131445</v>
      </c>
      <c r="K47" s="79">
        <v>17333</v>
      </c>
      <c r="L47" s="322">
        <v>18673</v>
      </c>
      <c r="M47" s="79">
        <v>143679</v>
      </c>
      <c r="N47" s="322">
        <v>145326</v>
      </c>
      <c r="O47" s="323">
        <f t="shared" si="0"/>
        <v>296782</v>
      </c>
      <c r="P47" s="638">
        <f t="shared" si="14"/>
        <v>296782</v>
      </c>
      <c r="Q47" s="322">
        <v>5024</v>
      </c>
      <c r="R47" s="90">
        <f t="shared" si="18"/>
        <v>9892.7333333333336</v>
      </c>
      <c r="S47" s="324">
        <f t="shared" si="2"/>
        <v>295444</v>
      </c>
      <c r="T47" s="638">
        <f t="shared" si="15"/>
        <v>295444</v>
      </c>
      <c r="U47" s="535">
        <v>9740</v>
      </c>
      <c r="V47" s="80">
        <f t="shared" si="19"/>
        <v>9848.1333333333332</v>
      </c>
      <c r="W47" s="79"/>
      <c r="X47" s="322"/>
      <c r="Y47" s="79"/>
      <c r="Z47" s="322"/>
      <c r="AA47" s="79"/>
      <c r="AB47" s="322"/>
      <c r="AC47" s="79"/>
      <c r="AD47" s="322"/>
      <c r="AE47" s="323">
        <f t="shared" si="4"/>
        <v>0</v>
      </c>
      <c r="AF47" s="638">
        <f t="shared" si="16"/>
        <v>0</v>
      </c>
      <c r="AG47" s="322"/>
      <c r="AH47" s="90">
        <f t="shared" si="5"/>
        <v>0</v>
      </c>
      <c r="AI47" s="80">
        <f t="shared" si="6"/>
        <v>0</v>
      </c>
      <c r="AJ47" s="638">
        <f t="shared" si="17"/>
        <v>0</v>
      </c>
      <c r="AK47" s="322"/>
      <c r="AL47" s="80">
        <f t="shared" si="7"/>
        <v>0</v>
      </c>
      <c r="AM47" s="79"/>
      <c r="AN47" s="322"/>
      <c r="AO47" s="79">
        <v>11556</v>
      </c>
      <c r="AP47" s="322">
        <v>13067</v>
      </c>
      <c r="AQ47" s="79">
        <v>7497</v>
      </c>
      <c r="AR47" s="322">
        <v>9086</v>
      </c>
      <c r="AS47" s="79">
        <v>13283</v>
      </c>
      <c r="AT47" s="322">
        <v>13225</v>
      </c>
      <c r="AU47" s="325">
        <f t="shared" si="8"/>
        <v>32336</v>
      </c>
      <c r="AV47" s="90">
        <f t="shared" si="20"/>
        <v>1347.3333333333333</v>
      </c>
      <c r="AW47" s="324">
        <f t="shared" si="10"/>
        <v>35378</v>
      </c>
      <c r="AX47" s="80">
        <f t="shared" si="21"/>
        <v>1474.0833333333333</v>
      </c>
      <c r="AY47" s="326">
        <f t="shared" si="12"/>
        <v>11240.066666666668</v>
      </c>
      <c r="AZ47" s="80">
        <f t="shared" si="13"/>
        <v>11322.216666666667</v>
      </c>
    </row>
    <row r="48" spans="1:52">
      <c r="A48" s="188" t="s">
        <v>833</v>
      </c>
      <c r="B48" s="192" t="s">
        <v>838</v>
      </c>
      <c r="C48" s="219">
        <v>106467</v>
      </c>
      <c r="D48" s="190">
        <v>4</v>
      </c>
      <c r="E48" s="162" t="s">
        <v>442</v>
      </c>
      <c r="F48" s="163" t="s">
        <v>442</v>
      </c>
      <c r="G48" s="79"/>
      <c r="H48" s="322"/>
      <c r="I48" s="79">
        <v>81485</v>
      </c>
      <c r="J48" s="322">
        <v>84096</v>
      </c>
      <c r="K48" s="79">
        <v>14282</v>
      </c>
      <c r="L48" s="322">
        <v>14102</v>
      </c>
      <c r="M48" s="79">
        <v>92267</v>
      </c>
      <c r="N48" s="322">
        <v>93317</v>
      </c>
      <c r="O48" s="323">
        <f t="shared" si="0"/>
        <v>188034</v>
      </c>
      <c r="P48" s="638">
        <f t="shared" si="14"/>
        <v>188034</v>
      </c>
      <c r="Q48" s="322">
        <v>1534</v>
      </c>
      <c r="R48" s="90">
        <f t="shared" si="18"/>
        <v>6267.8</v>
      </c>
      <c r="S48" s="324">
        <f t="shared" si="2"/>
        <v>191515</v>
      </c>
      <c r="T48" s="638">
        <f t="shared" si="15"/>
        <v>191515</v>
      </c>
      <c r="U48" s="322">
        <v>2544</v>
      </c>
      <c r="V48" s="80">
        <f t="shared" si="19"/>
        <v>6383.833333333333</v>
      </c>
      <c r="W48" s="79"/>
      <c r="X48" s="322"/>
      <c r="Y48" s="79"/>
      <c r="Z48" s="322"/>
      <c r="AA48" s="79"/>
      <c r="AB48" s="322"/>
      <c r="AC48" s="79"/>
      <c r="AD48" s="322"/>
      <c r="AE48" s="323">
        <f t="shared" si="4"/>
        <v>0</v>
      </c>
      <c r="AF48" s="638">
        <f t="shared" si="16"/>
        <v>0</v>
      </c>
      <c r="AG48" s="322"/>
      <c r="AH48" s="90">
        <f t="shared" si="5"/>
        <v>0</v>
      </c>
      <c r="AI48" s="80">
        <f t="shared" si="6"/>
        <v>0</v>
      </c>
      <c r="AJ48" s="638">
        <f t="shared" si="17"/>
        <v>0</v>
      </c>
      <c r="AK48" s="322"/>
      <c r="AL48" s="80">
        <f t="shared" si="7"/>
        <v>0</v>
      </c>
      <c r="AM48" s="79"/>
      <c r="AN48" s="322"/>
      <c r="AO48" s="79">
        <v>4516</v>
      </c>
      <c r="AP48" s="322">
        <v>3379</v>
      </c>
      <c r="AQ48" s="79">
        <v>2309</v>
      </c>
      <c r="AR48" s="322">
        <v>2131</v>
      </c>
      <c r="AS48" s="79">
        <v>3762</v>
      </c>
      <c r="AT48" s="322">
        <v>3182</v>
      </c>
      <c r="AU48" s="325">
        <f t="shared" si="8"/>
        <v>10587</v>
      </c>
      <c r="AV48" s="90">
        <f t="shared" si="20"/>
        <v>441.125</v>
      </c>
      <c r="AW48" s="324">
        <f t="shared" si="10"/>
        <v>8692</v>
      </c>
      <c r="AX48" s="80">
        <f t="shared" si="21"/>
        <v>362.16666666666669</v>
      </c>
      <c r="AY48" s="326">
        <f t="shared" si="12"/>
        <v>6708.9250000000002</v>
      </c>
      <c r="AZ48" s="80">
        <f t="shared" si="13"/>
        <v>6746</v>
      </c>
    </row>
    <row r="49" spans="1:52">
      <c r="A49" s="188" t="s">
        <v>833</v>
      </c>
      <c r="B49" s="192" t="s">
        <v>839</v>
      </c>
      <c r="C49" s="219">
        <v>107071</v>
      </c>
      <c r="D49" s="190">
        <v>4</v>
      </c>
      <c r="E49" s="162" t="s">
        <v>442</v>
      </c>
      <c r="F49" s="163" t="s">
        <v>442</v>
      </c>
      <c r="G49" s="79"/>
      <c r="H49" s="322"/>
      <c r="I49" s="79">
        <v>37398</v>
      </c>
      <c r="J49" s="322">
        <v>39598</v>
      </c>
      <c r="K49" s="79">
        <v>5762</v>
      </c>
      <c r="L49" s="322">
        <v>5788</v>
      </c>
      <c r="M49" s="79">
        <v>43236</v>
      </c>
      <c r="N49" s="322">
        <v>43165</v>
      </c>
      <c r="O49" s="323">
        <f t="shared" si="0"/>
        <v>86396</v>
      </c>
      <c r="P49" s="638">
        <f t="shared" si="14"/>
        <v>86396</v>
      </c>
      <c r="Q49" s="322">
        <v>130</v>
      </c>
      <c r="R49" s="90">
        <f t="shared" si="18"/>
        <v>2879.8666666666668</v>
      </c>
      <c r="S49" s="324">
        <f t="shared" si="2"/>
        <v>88551</v>
      </c>
      <c r="T49" s="638">
        <f t="shared" si="15"/>
        <v>88551</v>
      </c>
      <c r="U49" s="322">
        <v>119</v>
      </c>
      <c r="V49" s="80">
        <f t="shared" si="19"/>
        <v>2951.7</v>
      </c>
      <c r="W49" s="79"/>
      <c r="X49" s="322"/>
      <c r="Y49" s="79"/>
      <c r="Z49" s="322"/>
      <c r="AA49" s="79"/>
      <c r="AB49" s="322"/>
      <c r="AC49" s="79"/>
      <c r="AD49" s="322"/>
      <c r="AE49" s="323">
        <f t="shared" si="4"/>
        <v>0</v>
      </c>
      <c r="AF49" s="638">
        <f t="shared" si="16"/>
        <v>0</v>
      </c>
      <c r="AG49" s="322"/>
      <c r="AH49" s="90">
        <f t="shared" si="5"/>
        <v>0</v>
      </c>
      <c r="AI49" s="80">
        <f t="shared" si="6"/>
        <v>0</v>
      </c>
      <c r="AJ49" s="638">
        <f t="shared" si="17"/>
        <v>0</v>
      </c>
      <c r="AK49" s="322"/>
      <c r="AL49" s="80">
        <f t="shared" si="7"/>
        <v>0</v>
      </c>
      <c r="AM49" s="79"/>
      <c r="AN49" s="322"/>
      <c r="AO49" s="79">
        <v>2957</v>
      </c>
      <c r="AP49" s="322">
        <v>2959</v>
      </c>
      <c r="AQ49" s="79">
        <v>5094</v>
      </c>
      <c r="AR49" s="322">
        <v>5850</v>
      </c>
      <c r="AS49" s="79">
        <v>2832</v>
      </c>
      <c r="AT49" s="322">
        <v>3486</v>
      </c>
      <c r="AU49" s="325">
        <f t="shared" si="8"/>
        <v>10883</v>
      </c>
      <c r="AV49" s="90">
        <f t="shared" si="20"/>
        <v>453.45833333333331</v>
      </c>
      <c r="AW49" s="324">
        <f t="shared" si="10"/>
        <v>12295</v>
      </c>
      <c r="AX49" s="80">
        <f t="shared" si="21"/>
        <v>512.29166666666663</v>
      </c>
      <c r="AY49" s="326">
        <f t="shared" si="12"/>
        <v>3333.3250000000003</v>
      </c>
      <c r="AZ49" s="80">
        <f t="shared" si="13"/>
        <v>3463.9916666666663</v>
      </c>
    </row>
    <row r="50" spans="1:52">
      <c r="A50" s="188" t="s">
        <v>833</v>
      </c>
      <c r="B50" s="189" t="s">
        <v>840</v>
      </c>
      <c r="C50" s="219">
        <v>107983</v>
      </c>
      <c r="D50" s="190">
        <v>5</v>
      </c>
      <c r="E50" s="162" t="s">
        <v>442</v>
      </c>
      <c r="F50" s="163" t="s">
        <v>442</v>
      </c>
      <c r="G50" s="79"/>
      <c r="H50" s="322"/>
      <c r="I50" s="79">
        <v>35364</v>
      </c>
      <c r="J50" s="322">
        <v>34412</v>
      </c>
      <c r="K50" s="79">
        <v>4754</v>
      </c>
      <c r="L50" s="322">
        <v>4183</v>
      </c>
      <c r="M50" s="79">
        <v>38408</v>
      </c>
      <c r="N50" s="322">
        <v>36735</v>
      </c>
      <c r="O50" s="323">
        <f t="shared" si="0"/>
        <v>78526</v>
      </c>
      <c r="P50" s="638">
        <f t="shared" si="14"/>
        <v>78526</v>
      </c>
      <c r="Q50" s="322">
        <v>608</v>
      </c>
      <c r="R50" s="90">
        <f t="shared" si="18"/>
        <v>2617.5333333333333</v>
      </c>
      <c r="S50" s="324">
        <f t="shared" si="2"/>
        <v>75330</v>
      </c>
      <c r="T50" s="638">
        <f t="shared" si="15"/>
        <v>75330</v>
      </c>
      <c r="U50" s="322">
        <v>606</v>
      </c>
      <c r="V50" s="80">
        <f t="shared" si="19"/>
        <v>2511</v>
      </c>
      <c r="W50" s="79"/>
      <c r="X50" s="322"/>
      <c r="Y50" s="79"/>
      <c r="Z50" s="322"/>
      <c r="AA50" s="79"/>
      <c r="AB50" s="322"/>
      <c r="AC50" s="79"/>
      <c r="AD50" s="322"/>
      <c r="AE50" s="323">
        <f t="shared" si="4"/>
        <v>0</v>
      </c>
      <c r="AF50" s="638">
        <f t="shared" si="16"/>
        <v>0</v>
      </c>
      <c r="AG50" s="322"/>
      <c r="AH50" s="90">
        <f t="shared" si="5"/>
        <v>0</v>
      </c>
      <c r="AI50" s="80">
        <f t="shared" si="6"/>
        <v>0</v>
      </c>
      <c r="AJ50" s="638">
        <f t="shared" si="17"/>
        <v>0</v>
      </c>
      <c r="AK50" s="322"/>
      <c r="AL50" s="80">
        <f t="shared" si="7"/>
        <v>0</v>
      </c>
      <c r="AM50" s="79"/>
      <c r="AN50" s="322"/>
      <c r="AO50" s="79">
        <v>1696</v>
      </c>
      <c r="AP50" s="322">
        <v>2054</v>
      </c>
      <c r="AQ50" s="79">
        <v>1781</v>
      </c>
      <c r="AR50" s="322">
        <v>2691</v>
      </c>
      <c r="AS50" s="79">
        <v>2101</v>
      </c>
      <c r="AT50" s="322">
        <v>2447</v>
      </c>
      <c r="AU50" s="325">
        <f t="shared" si="8"/>
        <v>5578</v>
      </c>
      <c r="AV50" s="90">
        <f t="shared" si="20"/>
        <v>232.41666666666666</v>
      </c>
      <c r="AW50" s="324">
        <f t="shared" si="10"/>
        <v>7192</v>
      </c>
      <c r="AX50" s="80">
        <f t="shared" si="21"/>
        <v>299.66666666666669</v>
      </c>
      <c r="AY50" s="326">
        <f t="shared" si="12"/>
        <v>2849.95</v>
      </c>
      <c r="AZ50" s="80">
        <f t="shared" si="13"/>
        <v>2810.6666666666665</v>
      </c>
    </row>
    <row r="51" spans="1:52">
      <c r="A51" s="188" t="s">
        <v>833</v>
      </c>
      <c r="B51" s="192" t="s">
        <v>841</v>
      </c>
      <c r="C51" s="219">
        <v>106485</v>
      </c>
      <c r="D51" s="190">
        <v>5</v>
      </c>
      <c r="E51" s="162" t="s">
        <v>442</v>
      </c>
      <c r="F51" s="163" t="s">
        <v>442</v>
      </c>
      <c r="G51" s="79"/>
      <c r="H51" s="322"/>
      <c r="I51" s="79">
        <v>34199</v>
      </c>
      <c r="J51" s="322">
        <v>34789</v>
      </c>
      <c r="K51" s="79">
        <v>7119</v>
      </c>
      <c r="L51" s="322">
        <v>7289</v>
      </c>
      <c r="M51" s="79">
        <v>36629</v>
      </c>
      <c r="N51" s="322">
        <v>37200</v>
      </c>
      <c r="O51" s="323">
        <f t="shared" si="0"/>
        <v>77947</v>
      </c>
      <c r="P51" s="638">
        <f t="shared" si="14"/>
        <v>77947</v>
      </c>
      <c r="Q51" s="322">
        <v>3438</v>
      </c>
      <c r="R51" s="90">
        <f t="shared" si="18"/>
        <v>2598.2333333333331</v>
      </c>
      <c r="S51" s="324">
        <f t="shared" si="2"/>
        <v>79278</v>
      </c>
      <c r="T51" s="638">
        <f t="shared" si="15"/>
        <v>79278</v>
      </c>
      <c r="U51" s="322">
        <v>3573</v>
      </c>
      <c r="V51" s="80">
        <f t="shared" si="19"/>
        <v>2642.6</v>
      </c>
      <c r="W51" s="79"/>
      <c r="X51" s="322"/>
      <c r="Y51" s="79"/>
      <c r="Z51" s="322"/>
      <c r="AA51" s="79"/>
      <c r="AB51" s="322"/>
      <c r="AC51" s="79"/>
      <c r="AD51" s="322"/>
      <c r="AE51" s="323">
        <f t="shared" si="4"/>
        <v>0</v>
      </c>
      <c r="AF51" s="638">
        <f t="shared" si="16"/>
        <v>0</v>
      </c>
      <c r="AG51" s="322"/>
      <c r="AH51" s="90">
        <f t="shared" si="5"/>
        <v>0</v>
      </c>
      <c r="AI51" s="80">
        <f t="shared" si="6"/>
        <v>0</v>
      </c>
      <c r="AJ51" s="638">
        <f t="shared" si="17"/>
        <v>0</v>
      </c>
      <c r="AK51" s="322"/>
      <c r="AL51" s="80">
        <f t="shared" si="7"/>
        <v>0</v>
      </c>
      <c r="AM51" s="79"/>
      <c r="AN51" s="322"/>
      <c r="AO51" s="79">
        <v>663</v>
      </c>
      <c r="AP51" s="322">
        <v>885</v>
      </c>
      <c r="AQ51" s="79">
        <v>894</v>
      </c>
      <c r="AR51" s="322">
        <v>806</v>
      </c>
      <c r="AS51" s="79">
        <v>860</v>
      </c>
      <c r="AT51" s="322">
        <v>742</v>
      </c>
      <c r="AU51" s="325">
        <f t="shared" si="8"/>
        <v>2417</v>
      </c>
      <c r="AV51" s="90">
        <f t="shared" si="20"/>
        <v>100.70833333333333</v>
      </c>
      <c r="AW51" s="324">
        <f t="shared" si="10"/>
        <v>2433</v>
      </c>
      <c r="AX51" s="80">
        <f t="shared" si="21"/>
        <v>101.375</v>
      </c>
      <c r="AY51" s="326">
        <f t="shared" si="12"/>
        <v>2698.9416666666666</v>
      </c>
      <c r="AZ51" s="80">
        <f t="shared" si="13"/>
        <v>2743.9749999999999</v>
      </c>
    </row>
    <row r="52" spans="1:52">
      <c r="A52" s="188" t="s">
        <v>833</v>
      </c>
      <c r="B52" s="364" t="s">
        <v>287</v>
      </c>
      <c r="C52" s="365">
        <v>108092</v>
      </c>
      <c r="D52" s="406">
        <v>6</v>
      </c>
      <c r="E52" s="162" t="s">
        <v>442</v>
      </c>
      <c r="F52" s="163" t="s">
        <v>442</v>
      </c>
      <c r="G52" s="79"/>
      <c r="H52" s="322"/>
      <c r="I52" s="79">
        <v>67149</v>
      </c>
      <c r="J52" s="322">
        <v>68327</v>
      </c>
      <c r="K52" s="79">
        <v>16218</v>
      </c>
      <c r="L52" s="322">
        <v>15854</v>
      </c>
      <c r="M52" s="79">
        <v>73428</v>
      </c>
      <c r="N52" s="322">
        <v>77193</v>
      </c>
      <c r="O52" s="323">
        <f t="shared" si="0"/>
        <v>156795</v>
      </c>
      <c r="P52" s="638">
        <f t="shared" si="14"/>
        <v>156795</v>
      </c>
      <c r="Q52" s="322">
        <v>7465</v>
      </c>
      <c r="R52" s="90">
        <f t="shared" si="18"/>
        <v>5226.5</v>
      </c>
      <c r="S52" s="324">
        <f t="shared" si="2"/>
        <v>161374</v>
      </c>
      <c r="T52" s="638">
        <f t="shared" si="15"/>
        <v>161374</v>
      </c>
      <c r="U52" s="322">
        <v>7284</v>
      </c>
      <c r="V52" s="80">
        <f t="shared" si="19"/>
        <v>5379.1333333333332</v>
      </c>
      <c r="W52" s="79"/>
      <c r="X52" s="322"/>
      <c r="Y52" s="79"/>
      <c r="Z52" s="322"/>
      <c r="AA52" s="79"/>
      <c r="AB52" s="322"/>
      <c r="AC52" s="79"/>
      <c r="AD52" s="322"/>
      <c r="AE52" s="323">
        <f t="shared" si="4"/>
        <v>0</v>
      </c>
      <c r="AF52" s="638">
        <f t="shared" si="16"/>
        <v>0</v>
      </c>
      <c r="AG52" s="322"/>
      <c r="AH52" s="90">
        <f t="shared" si="5"/>
        <v>0</v>
      </c>
      <c r="AI52" s="80">
        <f t="shared" si="6"/>
        <v>0</v>
      </c>
      <c r="AJ52" s="638">
        <f t="shared" si="17"/>
        <v>0</v>
      </c>
      <c r="AK52" s="322"/>
      <c r="AL52" s="80">
        <f t="shared" si="7"/>
        <v>0</v>
      </c>
      <c r="AM52" s="79"/>
      <c r="AN52" s="322"/>
      <c r="AO52" s="79"/>
      <c r="AP52" s="322"/>
      <c r="AQ52" s="79"/>
      <c r="AR52" s="322"/>
      <c r="AS52" s="79"/>
      <c r="AT52" s="322"/>
      <c r="AU52" s="325">
        <f t="shared" si="8"/>
        <v>0</v>
      </c>
      <c r="AV52" s="90">
        <f t="shared" si="20"/>
        <v>0</v>
      </c>
      <c r="AW52" s="324">
        <f t="shared" si="10"/>
        <v>0</v>
      </c>
      <c r="AX52" s="80">
        <f t="shared" si="21"/>
        <v>0</v>
      </c>
      <c r="AY52" s="326">
        <f t="shared" si="12"/>
        <v>5226.5</v>
      </c>
      <c r="AZ52" s="80">
        <f t="shared" si="13"/>
        <v>5379.1333333333332</v>
      </c>
    </row>
    <row r="53" spans="1:52">
      <c r="A53" s="188" t="s">
        <v>833</v>
      </c>
      <c r="B53" s="192" t="s">
        <v>842</v>
      </c>
      <c r="C53" s="219">
        <v>106412</v>
      </c>
      <c r="D53" s="193">
        <v>6</v>
      </c>
      <c r="E53" s="162" t="s">
        <v>442</v>
      </c>
      <c r="F53" s="163" t="s">
        <v>442</v>
      </c>
      <c r="G53" s="79"/>
      <c r="H53" s="322"/>
      <c r="I53" s="79">
        <v>35973</v>
      </c>
      <c r="J53" s="322">
        <v>37374</v>
      </c>
      <c r="K53" s="79">
        <v>5274</v>
      </c>
      <c r="L53" s="322">
        <v>5993</v>
      </c>
      <c r="M53" s="79">
        <v>42283</v>
      </c>
      <c r="N53" s="322">
        <v>46476</v>
      </c>
      <c r="O53" s="323">
        <f t="shared" si="0"/>
        <v>83530</v>
      </c>
      <c r="P53" s="638">
        <f t="shared" si="14"/>
        <v>83530</v>
      </c>
      <c r="Q53" s="322">
        <v>52</v>
      </c>
      <c r="R53" s="90">
        <f t="shared" si="18"/>
        <v>2784.3333333333335</v>
      </c>
      <c r="S53" s="324">
        <f t="shared" si="2"/>
        <v>89843</v>
      </c>
      <c r="T53" s="638">
        <f t="shared" si="15"/>
        <v>89843</v>
      </c>
      <c r="U53" s="322">
        <v>48</v>
      </c>
      <c r="V53" s="80">
        <f t="shared" si="19"/>
        <v>2994.7666666666669</v>
      </c>
      <c r="W53" s="79"/>
      <c r="X53" s="322"/>
      <c r="Y53" s="79"/>
      <c r="Z53" s="322"/>
      <c r="AA53" s="79"/>
      <c r="AB53" s="322"/>
      <c r="AC53" s="79"/>
      <c r="AD53" s="322"/>
      <c r="AE53" s="323">
        <f t="shared" si="4"/>
        <v>0</v>
      </c>
      <c r="AF53" s="638">
        <f t="shared" si="16"/>
        <v>0</v>
      </c>
      <c r="AG53" s="322"/>
      <c r="AH53" s="90">
        <f t="shared" si="5"/>
        <v>0</v>
      </c>
      <c r="AI53" s="80">
        <f t="shared" si="6"/>
        <v>0</v>
      </c>
      <c r="AJ53" s="638">
        <f t="shared" si="17"/>
        <v>0</v>
      </c>
      <c r="AK53" s="322"/>
      <c r="AL53" s="80">
        <f t="shared" si="7"/>
        <v>0</v>
      </c>
      <c r="AM53" s="79"/>
      <c r="AN53" s="322"/>
      <c r="AO53" s="79">
        <v>613</v>
      </c>
      <c r="AP53" s="322">
        <v>657</v>
      </c>
      <c r="AQ53" s="79">
        <v>197</v>
      </c>
      <c r="AR53" s="322">
        <v>461</v>
      </c>
      <c r="AS53" s="79">
        <v>707</v>
      </c>
      <c r="AT53" s="322">
        <v>928</v>
      </c>
      <c r="AU53" s="325">
        <f t="shared" si="8"/>
        <v>1517</v>
      </c>
      <c r="AV53" s="90">
        <f t="shared" si="20"/>
        <v>63.208333333333336</v>
      </c>
      <c r="AW53" s="324">
        <f t="shared" si="10"/>
        <v>2046</v>
      </c>
      <c r="AX53" s="80">
        <f t="shared" si="21"/>
        <v>85.25</v>
      </c>
      <c r="AY53" s="326">
        <f t="shared" si="12"/>
        <v>2847.541666666667</v>
      </c>
      <c r="AZ53" s="80">
        <f t="shared" si="13"/>
        <v>3080.0166666666669</v>
      </c>
    </row>
    <row r="54" spans="1:52">
      <c r="A54" s="188" t="s">
        <v>833</v>
      </c>
      <c r="B54" s="191" t="s">
        <v>843</v>
      </c>
      <c r="C54" s="219">
        <v>107664</v>
      </c>
      <c r="D54" s="190">
        <v>8</v>
      </c>
      <c r="E54" s="162" t="s">
        <v>442</v>
      </c>
      <c r="F54" s="163" t="s">
        <v>442</v>
      </c>
      <c r="G54" s="79"/>
      <c r="H54" s="322"/>
      <c r="I54" s="79">
        <v>81309</v>
      </c>
      <c r="J54" s="322">
        <v>85052</v>
      </c>
      <c r="K54" s="79">
        <v>17710</v>
      </c>
      <c r="L54" s="322">
        <v>18015</v>
      </c>
      <c r="M54" s="79">
        <v>84810</v>
      </c>
      <c r="N54" s="322">
        <v>87168</v>
      </c>
      <c r="O54" s="323">
        <f t="shared" si="0"/>
        <v>183829</v>
      </c>
      <c r="P54" s="638">
        <f t="shared" si="14"/>
        <v>183829</v>
      </c>
      <c r="Q54" s="322">
        <v>3184</v>
      </c>
      <c r="R54" s="90">
        <f t="shared" si="18"/>
        <v>6127.6333333333332</v>
      </c>
      <c r="S54" s="324">
        <f t="shared" si="2"/>
        <v>190235</v>
      </c>
      <c r="T54" s="638">
        <f t="shared" si="15"/>
        <v>190235</v>
      </c>
      <c r="U54" s="322">
        <v>3025</v>
      </c>
      <c r="V54" s="80">
        <f t="shared" si="19"/>
        <v>6341.166666666667</v>
      </c>
      <c r="W54" s="79"/>
      <c r="X54" s="322"/>
      <c r="Y54" s="79"/>
      <c r="Z54" s="322"/>
      <c r="AA54" s="79"/>
      <c r="AB54" s="322"/>
      <c r="AC54" s="79"/>
      <c r="AD54" s="322"/>
      <c r="AE54" s="323">
        <f t="shared" si="4"/>
        <v>0</v>
      </c>
      <c r="AF54" s="638">
        <f t="shared" si="16"/>
        <v>0</v>
      </c>
      <c r="AG54" s="322"/>
      <c r="AH54" s="90">
        <f t="shared" si="5"/>
        <v>0</v>
      </c>
      <c r="AI54" s="80">
        <f t="shared" si="6"/>
        <v>0</v>
      </c>
      <c r="AJ54" s="638">
        <f t="shared" si="17"/>
        <v>0</v>
      </c>
      <c r="AK54" s="322"/>
      <c r="AL54" s="80">
        <f t="shared" si="7"/>
        <v>0</v>
      </c>
      <c r="AM54" s="79"/>
      <c r="AN54" s="322"/>
      <c r="AO54" s="79"/>
      <c r="AP54" s="322"/>
      <c r="AQ54" s="79"/>
      <c r="AR54" s="322"/>
      <c r="AS54" s="79"/>
      <c r="AT54" s="322"/>
      <c r="AU54" s="325">
        <f t="shared" si="8"/>
        <v>0</v>
      </c>
      <c r="AV54" s="90">
        <f t="shared" si="20"/>
        <v>0</v>
      </c>
      <c r="AW54" s="324">
        <f t="shared" si="10"/>
        <v>0</v>
      </c>
      <c r="AX54" s="80">
        <f t="shared" si="21"/>
        <v>0</v>
      </c>
      <c r="AY54" s="326">
        <f t="shared" si="12"/>
        <v>6127.6333333333332</v>
      </c>
      <c r="AZ54" s="80">
        <f t="shared" si="13"/>
        <v>6341.166666666667</v>
      </c>
    </row>
    <row r="55" spans="1:52">
      <c r="A55" s="188" t="s">
        <v>833</v>
      </c>
      <c r="B55" s="189" t="s">
        <v>844</v>
      </c>
      <c r="C55" s="219">
        <v>106449</v>
      </c>
      <c r="D55" s="190">
        <v>9</v>
      </c>
      <c r="E55" s="162" t="s">
        <v>442</v>
      </c>
      <c r="F55" s="163" t="s">
        <v>442</v>
      </c>
      <c r="G55" s="79"/>
      <c r="H55" s="322"/>
      <c r="I55" s="79">
        <v>40320</v>
      </c>
      <c r="J55" s="322">
        <v>41921</v>
      </c>
      <c r="K55" s="79">
        <v>9851</v>
      </c>
      <c r="L55" s="322">
        <v>11003</v>
      </c>
      <c r="M55" s="79">
        <v>44814</v>
      </c>
      <c r="N55" s="322">
        <v>45614</v>
      </c>
      <c r="O55" s="323">
        <f t="shared" si="0"/>
        <v>94985</v>
      </c>
      <c r="P55" s="638">
        <f t="shared" si="14"/>
        <v>94985</v>
      </c>
      <c r="Q55" s="322">
        <v>6330</v>
      </c>
      <c r="R55" s="90">
        <f t="shared" si="18"/>
        <v>3166.1666666666665</v>
      </c>
      <c r="S55" s="324">
        <f t="shared" si="2"/>
        <v>98538</v>
      </c>
      <c r="T55" s="638">
        <f t="shared" si="15"/>
        <v>98538</v>
      </c>
      <c r="U55" s="322">
        <v>6630</v>
      </c>
      <c r="V55" s="80">
        <f t="shared" si="19"/>
        <v>3284.6</v>
      </c>
      <c r="W55" s="79"/>
      <c r="X55" s="322"/>
      <c r="Y55" s="79"/>
      <c r="Z55" s="322"/>
      <c r="AA55" s="79"/>
      <c r="AB55" s="322"/>
      <c r="AC55" s="79"/>
      <c r="AD55" s="322"/>
      <c r="AE55" s="323">
        <f t="shared" si="4"/>
        <v>0</v>
      </c>
      <c r="AF55" s="638">
        <f t="shared" si="16"/>
        <v>0</v>
      </c>
      <c r="AG55" s="322"/>
      <c r="AH55" s="90">
        <f t="shared" si="5"/>
        <v>0</v>
      </c>
      <c r="AI55" s="80">
        <f t="shared" si="6"/>
        <v>0</v>
      </c>
      <c r="AJ55" s="638">
        <f t="shared" si="17"/>
        <v>0</v>
      </c>
      <c r="AK55" s="322"/>
      <c r="AL55" s="80">
        <f t="shared" si="7"/>
        <v>0</v>
      </c>
      <c r="AM55" s="79"/>
      <c r="AN55" s="322"/>
      <c r="AO55" s="79"/>
      <c r="AP55" s="322"/>
      <c r="AQ55" s="79"/>
      <c r="AR55" s="322"/>
      <c r="AS55" s="79"/>
      <c r="AT55" s="322"/>
      <c r="AU55" s="325">
        <f t="shared" si="8"/>
        <v>0</v>
      </c>
      <c r="AV55" s="90">
        <f t="shared" si="20"/>
        <v>0</v>
      </c>
      <c r="AW55" s="324">
        <f t="shared" si="10"/>
        <v>0</v>
      </c>
      <c r="AX55" s="80">
        <f t="shared" si="21"/>
        <v>0</v>
      </c>
      <c r="AY55" s="326">
        <f t="shared" si="12"/>
        <v>3166.1666666666665</v>
      </c>
      <c r="AZ55" s="80">
        <f t="shared" si="13"/>
        <v>3284.6</v>
      </c>
    </row>
    <row r="56" spans="1:52">
      <c r="A56" s="188" t="s">
        <v>833</v>
      </c>
      <c r="B56" s="191" t="s">
        <v>845</v>
      </c>
      <c r="C56" s="219">
        <v>367459</v>
      </c>
      <c r="D56" s="190">
        <v>9</v>
      </c>
      <c r="E56" s="162" t="s">
        <v>442</v>
      </c>
      <c r="F56" s="163" t="s">
        <v>442</v>
      </c>
      <c r="G56" s="79"/>
      <c r="H56" s="322"/>
      <c r="I56" s="79">
        <v>47682</v>
      </c>
      <c r="J56" s="322">
        <v>56212</v>
      </c>
      <c r="K56" s="79">
        <v>10922</v>
      </c>
      <c r="L56" s="322">
        <v>13549</v>
      </c>
      <c r="M56" s="79">
        <v>55957</v>
      </c>
      <c r="N56" s="322">
        <v>63246</v>
      </c>
      <c r="O56" s="323">
        <f t="shared" si="0"/>
        <v>114561</v>
      </c>
      <c r="P56" s="638">
        <f t="shared" si="14"/>
        <v>114561</v>
      </c>
      <c r="Q56" s="322">
        <v>6205</v>
      </c>
      <c r="R56" s="90">
        <f t="shared" si="18"/>
        <v>3818.7</v>
      </c>
      <c r="S56" s="324">
        <f t="shared" si="2"/>
        <v>133007</v>
      </c>
      <c r="T56" s="638">
        <f t="shared" si="15"/>
        <v>133007</v>
      </c>
      <c r="U56" s="322">
        <v>6288</v>
      </c>
      <c r="V56" s="80">
        <f t="shared" si="19"/>
        <v>4433.5666666666666</v>
      </c>
      <c r="W56" s="79"/>
      <c r="X56" s="322"/>
      <c r="Y56" s="79"/>
      <c r="Z56" s="322"/>
      <c r="AA56" s="79"/>
      <c r="AB56" s="322"/>
      <c r="AC56" s="79"/>
      <c r="AD56" s="322"/>
      <c r="AE56" s="323">
        <f t="shared" si="4"/>
        <v>0</v>
      </c>
      <c r="AF56" s="638">
        <f t="shared" si="16"/>
        <v>0</v>
      </c>
      <c r="AG56" s="322"/>
      <c r="AH56" s="90">
        <f t="shared" si="5"/>
        <v>0</v>
      </c>
      <c r="AI56" s="80">
        <f t="shared" si="6"/>
        <v>0</v>
      </c>
      <c r="AJ56" s="638">
        <f t="shared" si="17"/>
        <v>0</v>
      </c>
      <c r="AK56" s="322"/>
      <c r="AL56" s="80">
        <f t="shared" si="7"/>
        <v>0</v>
      </c>
      <c r="AM56" s="79"/>
      <c r="AN56" s="322"/>
      <c r="AO56" s="79"/>
      <c r="AP56" s="322"/>
      <c r="AQ56" s="79"/>
      <c r="AR56" s="322"/>
      <c r="AS56" s="79"/>
      <c r="AT56" s="322"/>
      <c r="AU56" s="325">
        <f t="shared" si="8"/>
        <v>0</v>
      </c>
      <c r="AV56" s="90">
        <f t="shared" si="20"/>
        <v>0</v>
      </c>
      <c r="AW56" s="324">
        <f t="shared" si="10"/>
        <v>0</v>
      </c>
      <c r="AX56" s="80">
        <f t="shared" si="21"/>
        <v>0</v>
      </c>
      <c r="AY56" s="326">
        <f t="shared" si="12"/>
        <v>3818.7</v>
      </c>
      <c r="AZ56" s="80">
        <f t="shared" si="13"/>
        <v>4433.5666666666666</v>
      </c>
    </row>
    <row r="57" spans="1:52">
      <c r="A57" s="188" t="s">
        <v>833</v>
      </c>
      <c r="B57" s="189" t="s">
        <v>846</v>
      </c>
      <c r="C57" s="219">
        <v>107327</v>
      </c>
      <c r="D57" s="190">
        <v>10</v>
      </c>
      <c r="E57" s="162" t="s">
        <v>442</v>
      </c>
      <c r="F57" s="163" t="s">
        <v>442</v>
      </c>
      <c r="G57" s="79"/>
      <c r="H57" s="322"/>
      <c r="I57" s="79">
        <v>15938</v>
      </c>
      <c r="J57" s="322">
        <v>14895</v>
      </c>
      <c r="K57" s="79">
        <v>3503</v>
      </c>
      <c r="L57" s="322">
        <v>3839</v>
      </c>
      <c r="M57" s="79">
        <v>16178</v>
      </c>
      <c r="N57" s="322">
        <v>17242</v>
      </c>
      <c r="O57" s="323">
        <f t="shared" si="0"/>
        <v>35619</v>
      </c>
      <c r="P57" s="638">
        <f t="shared" si="14"/>
        <v>35619</v>
      </c>
      <c r="Q57" s="322">
        <v>1368</v>
      </c>
      <c r="R57" s="90">
        <f t="shared" si="18"/>
        <v>1187.3</v>
      </c>
      <c r="S57" s="324">
        <f t="shared" si="2"/>
        <v>35976</v>
      </c>
      <c r="T57" s="638">
        <f t="shared" si="15"/>
        <v>35976</v>
      </c>
      <c r="U57" s="322">
        <v>1801</v>
      </c>
      <c r="V57" s="80">
        <f t="shared" si="19"/>
        <v>1199.2</v>
      </c>
      <c r="W57" s="79"/>
      <c r="X57" s="322"/>
      <c r="Y57" s="79"/>
      <c r="Z57" s="322"/>
      <c r="AA57" s="79"/>
      <c r="AB57" s="322"/>
      <c r="AC57" s="79"/>
      <c r="AD57" s="322"/>
      <c r="AE57" s="323">
        <f t="shared" si="4"/>
        <v>0</v>
      </c>
      <c r="AF57" s="638">
        <f t="shared" si="16"/>
        <v>0</v>
      </c>
      <c r="AG57" s="322"/>
      <c r="AH57" s="90">
        <f t="shared" si="5"/>
        <v>0</v>
      </c>
      <c r="AI57" s="80">
        <f t="shared" si="6"/>
        <v>0</v>
      </c>
      <c r="AJ57" s="638">
        <f t="shared" si="17"/>
        <v>0</v>
      </c>
      <c r="AK57" s="322"/>
      <c r="AL57" s="80">
        <f t="shared" si="7"/>
        <v>0</v>
      </c>
      <c r="AM57" s="79"/>
      <c r="AN57" s="322"/>
      <c r="AO57" s="79"/>
      <c r="AP57" s="322"/>
      <c r="AQ57" s="79"/>
      <c r="AR57" s="322"/>
      <c r="AS57" s="79"/>
      <c r="AT57" s="322"/>
      <c r="AU57" s="325">
        <f t="shared" si="8"/>
        <v>0</v>
      </c>
      <c r="AV57" s="90">
        <f t="shared" si="20"/>
        <v>0</v>
      </c>
      <c r="AW57" s="324">
        <f t="shared" si="10"/>
        <v>0</v>
      </c>
      <c r="AX57" s="80">
        <f t="shared" si="21"/>
        <v>0</v>
      </c>
      <c r="AY57" s="326">
        <f t="shared" si="12"/>
        <v>1187.3</v>
      </c>
      <c r="AZ57" s="80">
        <f t="shared" si="13"/>
        <v>1199.2</v>
      </c>
    </row>
    <row r="58" spans="1:52">
      <c r="A58" s="188" t="s">
        <v>833</v>
      </c>
      <c r="B58" s="191" t="s">
        <v>847</v>
      </c>
      <c r="C58" s="219">
        <v>420538</v>
      </c>
      <c r="D58" s="190">
        <v>10</v>
      </c>
      <c r="E58" s="162" t="s">
        <v>442</v>
      </c>
      <c r="F58" s="163" t="s">
        <v>442</v>
      </c>
      <c r="G58" s="79"/>
      <c r="H58" s="322"/>
      <c r="I58" s="79">
        <v>10642</v>
      </c>
      <c r="J58" s="322">
        <v>11855</v>
      </c>
      <c r="K58" s="79">
        <v>1959</v>
      </c>
      <c r="L58" s="322">
        <v>2856</v>
      </c>
      <c r="M58" s="79">
        <v>11593</v>
      </c>
      <c r="N58" s="322">
        <v>13187</v>
      </c>
      <c r="O58" s="323">
        <f t="shared" si="0"/>
        <v>24194</v>
      </c>
      <c r="P58" s="638">
        <f t="shared" si="14"/>
        <v>24194</v>
      </c>
      <c r="Q58" s="322">
        <v>681</v>
      </c>
      <c r="R58" s="90">
        <f t="shared" si="18"/>
        <v>806.4666666666667</v>
      </c>
      <c r="S58" s="324">
        <f t="shared" si="2"/>
        <v>27898</v>
      </c>
      <c r="T58" s="638">
        <f t="shared" si="15"/>
        <v>27898</v>
      </c>
      <c r="U58" s="322">
        <v>778</v>
      </c>
      <c r="V58" s="80">
        <f t="shared" si="19"/>
        <v>929.93333333333328</v>
      </c>
      <c r="W58" s="79"/>
      <c r="X58" s="322"/>
      <c r="Y58" s="79"/>
      <c r="Z58" s="322"/>
      <c r="AA58" s="79"/>
      <c r="AB58" s="322"/>
      <c r="AC58" s="79"/>
      <c r="AD58" s="322"/>
      <c r="AE58" s="323">
        <f t="shared" si="4"/>
        <v>0</v>
      </c>
      <c r="AF58" s="638">
        <f t="shared" si="16"/>
        <v>0</v>
      </c>
      <c r="AG58" s="322"/>
      <c r="AH58" s="90">
        <f t="shared" si="5"/>
        <v>0</v>
      </c>
      <c r="AI58" s="80">
        <f t="shared" si="6"/>
        <v>0</v>
      </c>
      <c r="AJ58" s="638">
        <f t="shared" si="17"/>
        <v>0</v>
      </c>
      <c r="AK58" s="322"/>
      <c r="AL58" s="80">
        <f t="shared" si="7"/>
        <v>0</v>
      </c>
      <c r="AM58" s="79"/>
      <c r="AN58" s="322"/>
      <c r="AO58" s="79"/>
      <c r="AP58" s="322"/>
      <c r="AQ58" s="79"/>
      <c r="AR58" s="322"/>
      <c r="AS58" s="79"/>
      <c r="AT58" s="322"/>
      <c r="AU58" s="325">
        <f t="shared" si="8"/>
        <v>0</v>
      </c>
      <c r="AV58" s="90">
        <f t="shared" si="20"/>
        <v>0</v>
      </c>
      <c r="AW58" s="324">
        <f t="shared" si="10"/>
        <v>0</v>
      </c>
      <c r="AX58" s="80">
        <f t="shared" si="21"/>
        <v>0</v>
      </c>
      <c r="AY58" s="326">
        <f t="shared" si="12"/>
        <v>806.4666666666667</v>
      </c>
      <c r="AZ58" s="80">
        <f t="shared" si="13"/>
        <v>929.93333333333328</v>
      </c>
    </row>
    <row r="59" spans="1:52">
      <c r="A59" s="188" t="s">
        <v>833</v>
      </c>
      <c r="B59" s="191" t="s">
        <v>848</v>
      </c>
      <c r="C59" s="219">
        <v>440402</v>
      </c>
      <c r="D59" s="190">
        <v>10</v>
      </c>
      <c r="E59" s="162" t="s">
        <v>442</v>
      </c>
      <c r="F59" s="163" t="s">
        <v>442</v>
      </c>
      <c r="G59" s="79"/>
      <c r="H59" s="322"/>
      <c r="I59" s="79">
        <v>10859</v>
      </c>
      <c r="J59" s="322">
        <v>10644</v>
      </c>
      <c r="K59" s="79">
        <v>5254</v>
      </c>
      <c r="L59" s="322">
        <v>5542</v>
      </c>
      <c r="M59" s="79">
        <v>11118</v>
      </c>
      <c r="N59" s="322">
        <v>16416</v>
      </c>
      <c r="O59" s="323">
        <f t="shared" si="0"/>
        <v>27231</v>
      </c>
      <c r="P59" s="638">
        <f t="shared" si="14"/>
        <v>27231</v>
      </c>
      <c r="Q59" s="322">
        <v>2649</v>
      </c>
      <c r="R59" s="90">
        <f t="shared" si="18"/>
        <v>907.7</v>
      </c>
      <c r="S59" s="324">
        <f t="shared" si="2"/>
        <v>32602</v>
      </c>
      <c r="T59" s="638">
        <f t="shared" si="15"/>
        <v>32602</v>
      </c>
      <c r="U59" s="542">
        <v>3336</v>
      </c>
      <c r="V59" s="80">
        <f t="shared" si="19"/>
        <v>1086.7333333333333</v>
      </c>
      <c r="W59" s="79"/>
      <c r="X59" s="322"/>
      <c r="Y59" s="79"/>
      <c r="Z59" s="322"/>
      <c r="AA59" s="79"/>
      <c r="AB59" s="322"/>
      <c r="AC59" s="79"/>
      <c r="AD59" s="322"/>
      <c r="AE59" s="323">
        <f t="shared" si="4"/>
        <v>0</v>
      </c>
      <c r="AF59" s="638">
        <f t="shared" si="16"/>
        <v>0</v>
      </c>
      <c r="AG59" s="322"/>
      <c r="AH59" s="90">
        <f t="shared" si="5"/>
        <v>0</v>
      </c>
      <c r="AI59" s="80">
        <f t="shared" si="6"/>
        <v>0</v>
      </c>
      <c r="AJ59" s="638">
        <f t="shared" si="17"/>
        <v>0</v>
      </c>
      <c r="AK59" s="322"/>
      <c r="AL59" s="80">
        <f t="shared" si="7"/>
        <v>0</v>
      </c>
      <c r="AM59" s="79"/>
      <c r="AN59" s="322"/>
      <c r="AO59" s="79"/>
      <c r="AP59" s="322"/>
      <c r="AQ59" s="79"/>
      <c r="AR59" s="322"/>
      <c r="AS59" s="79"/>
      <c r="AT59" s="322"/>
      <c r="AU59" s="325">
        <f t="shared" si="8"/>
        <v>0</v>
      </c>
      <c r="AV59" s="90">
        <f t="shared" si="20"/>
        <v>0</v>
      </c>
      <c r="AW59" s="324">
        <f t="shared" si="10"/>
        <v>0</v>
      </c>
      <c r="AX59" s="80">
        <f t="shared" si="21"/>
        <v>0</v>
      </c>
      <c r="AY59" s="326">
        <f t="shared" si="12"/>
        <v>907.7</v>
      </c>
      <c r="AZ59" s="80">
        <f t="shared" si="13"/>
        <v>1086.7333333333333</v>
      </c>
    </row>
    <row r="60" spans="1:52">
      <c r="A60" s="188" t="s">
        <v>833</v>
      </c>
      <c r="B60" s="191" t="s">
        <v>849</v>
      </c>
      <c r="C60" s="219">
        <v>106625</v>
      </c>
      <c r="D60" s="190">
        <v>10</v>
      </c>
      <c r="E60" s="162" t="s">
        <v>442</v>
      </c>
      <c r="F60" s="163" t="s">
        <v>442</v>
      </c>
      <c r="G60" s="79"/>
      <c r="H60" s="322"/>
      <c r="I60" s="79">
        <v>19329</v>
      </c>
      <c r="J60" s="322">
        <v>21310</v>
      </c>
      <c r="K60" s="79">
        <v>5071</v>
      </c>
      <c r="L60" s="322">
        <v>5452</v>
      </c>
      <c r="M60" s="79">
        <v>22039</v>
      </c>
      <c r="N60" s="322">
        <v>21251</v>
      </c>
      <c r="O60" s="323">
        <f t="shared" si="0"/>
        <v>46439</v>
      </c>
      <c r="P60" s="638">
        <f t="shared" si="14"/>
        <v>46439</v>
      </c>
      <c r="Q60" s="322">
        <v>1797</v>
      </c>
      <c r="R60" s="90">
        <f t="shared" si="18"/>
        <v>1547.9666666666667</v>
      </c>
      <c r="S60" s="324">
        <f t="shared" si="2"/>
        <v>48013</v>
      </c>
      <c r="T60" s="638">
        <f t="shared" si="15"/>
        <v>48013</v>
      </c>
      <c r="U60" s="322">
        <v>1295</v>
      </c>
      <c r="V60" s="80">
        <f t="shared" si="19"/>
        <v>1600.4333333333334</v>
      </c>
      <c r="W60" s="79"/>
      <c r="X60" s="322"/>
      <c r="Y60" s="79"/>
      <c r="Z60" s="322"/>
      <c r="AA60" s="79"/>
      <c r="AB60" s="322"/>
      <c r="AC60" s="79"/>
      <c r="AD60" s="322"/>
      <c r="AE60" s="323">
        <f t="shared" si="4"/>
        <v>0</v>
      </c>
      <c r="AF60" s="638">
        <f t="shared" si="16"/>
        <v>0</v>
      </c>
      <c r="AG60" s="322"/>
      <c r="AH60" s="90">
        <f t="shared" si="5"/>
        <v>0</v>
      </c>
      <c r="AI60" s="80">
        <f t="shared" si="6"/>
        <v>0</v>
      </c>
      <c r="AJ60" s="638">
        <f t="shared" si="17"/>
        <v>0</v>
      </c>
      <c r="AK60" s="322"/>
      <c r="AL60" s="80">
        <f t="shared" si="7"/>
        <v>0</v>
      </c>
      <c r="AM60" s="79"/>
      <c r="AN60" s="322"/>
      <c r="AO60" s="79"/>
      <c r="AP60" s="322"/>
      <c r="AQ60" s="79"/>
      <c r="AR60" s="322"/>
      <c r="AS60" s="79"/>
      <c r="AT60" s="322"/>
      <c r="AU60" s="325">
        <f t="shared" si="8"/>
        <v>0</v>
      </c>
      <c r="AV60" s="90">
        <f t="shared" si="20"/>
        <v>0</v>
      </c>
      <c r="AW60" s="324">
        <f t="shared" si="10"/>
        <v>0</v>
      </c>
      <c r="AX60" s="80">
        <f t="shared" si="21"/>
        <v>0</v>
      </c>
      <c r="AY60" s="326">
        <f t="shared" si="12"/>
        <v>1547.9666666666667</v>
      </c>
      <c r="AZ60" s="80">
        <f t="shared" si="13"/>
        <v>1600.4333333333334</v>
      </c>
    </row>
    <row r="61" spans="1:52">
      <c r="A61" s="188" t="s">
        <v>833</v>
      </c>
      <c r="B61" s="191" t="s">
        <v>850</v>
      </c>
      <c r="C61" s="219">
        <v>106795</v>
      </c>
      <c r="D61" s="190">
        <v>10</v>
      </c>
      <c r="E61" s="162" t="s">
        <v>442</v>
      </c>
      <c r="F61" s="163" t="s">
        <v>442</v>
      </c>
      <c r="G61" s="79"/>
      <c r="H61" s="322"/>
      <c r="I61" s="79">
        <v>11125</v>
      </c>
      <c r="J61" s="322">
        <v>11464</v>
      </c>
      <c r="K61" s="79">
        <v>3631</v>
      </c>
      <c r="L61" s="322">
        <v>3464</v>
      </c>
      <c r="M61" s="79">
        <v>11170</v>
      </c>
      <c r="N61" s="322">
        <v>12067</v>
      </c>
      <c r="O61" s="323">
        <f t="shared" si="0"/>
        <v>25926</v>
      </c>
      <c r="P61" s="638">
        <f t="shared" si="14"/>
        <v>25926</v>
      </c>
      <c r="Q61" s="322">
        <v>2462</v>
      </c>
      <c r="R61" s="90">
        <f t="shared" si="18"/>
        <v>864.2</v>
      </c>
      <c r="S61" s="324">
        <f t="shared" si="2"/>
        <v>26995</v>
      </c>
      <c r="T61" s="638">
        <f t="shared" si="15"/>
        <v>26995</v>
      </c>
      <c r="U61" s="322">
        <v>2680</v>
      </c>
      <c r="V61" s="80">
        <f t="shared" si="19"/>
        <v>899.83333333333337</v>
      </c>
      <c r="W61" s="79"/>
      <c r="X61" s="322"/>
      <c r="Y61" s="79"/>
      <c r="Z61" s="322"/>
      <c r="AA61" s="79"/>
      <c r="AB61" s="322"/>
      <c r="AC61" s="79"/>
      <c r="AD61" s="322"/>
      <c r="AE61" s="323">
        <f t="shared" si="4"/>
        <v>0</v>
      </c>
      <c r="AF61" s="638">
        <f t="shared" si="16"/>
        <v>0</v>
      </c>
      <c r="AG61" s="322"/>
      <c r="AH61" s="90">
        <f t="shared" si="5"/>
        <v>0</v>
      </c>
      <c r="AI61" s="80">
        <f t="shared" si="6"/>
        <v>0</v>
      </c>
      <c r="AJ61" s="638">
        <f t="shared" si="17"/>
        <v>0</v>
      </c>
      <c r="AK61" s="322"/>
      <c r="AL61" s="80">
        <f t="shared" si="7"/>
        <v>0</v>
      </c>
      <c r="AM61" s="79"/>
      <c r="AN61" s="322"/>
      <c r="AO61" s="79"/>
      <c r="AP61" s="322"/>
      <c r="AQ61" s="79"/>
      <c r="AR61" s="322"/>
      <c r="AS61" s="79"/>
      <c r="AT61" s="322"/>
      <c r="AU61" s="325">
        <f t="shared" si="8"/>
        <v>0</v>
      </c>
      <c r="AV61" s="90">
        <f t="shared" si="20"/>
        <v>0</v>
      </c>
      <c r="AW61" s="324">
        <f t="shared" si="10"/>
        <v>0</v>
      </c>
      <c r="AX61" s="80">
        <f t="shared" si="21"/>
        <v>0</v>
      </c>
      <c r="AY61" s="326">
        <f t="shared" si="12"/>
        <v>864.2</v>
      </c>
      <c r="AZ61" s="80">
        <f t="shared" si="13"/>
        <v>899.83333333333337</v>
      </c>
    </row>
    <row r="62" spans="1:52">
      <c r="A62" s="188" t="s">
        <v>833</v>
      </c>
      <c r="B62" s="191" t="s">
        <v>851</v>
      </c>
      <c r="C62" s="219">
        <v>106883</v>
      </c>
      <c r="D62" s="190">
        <v>10</v>
      </c>
      <c r="E62" s="162" t="s">
        <v>442</v>
      </c>
      <c r="F62" s="163" t="s">
        <v>442</v>
      </c>
      <c r="G62" s="79"/>
      <c r="H62" s="322"/>
      <c r="I62" s="79">
        <v>13992</v>
      </c>
      <c r="J62" s="322">
        <v>13859</v>
      </c>
      <c r="K62" s="79">
        <v>4470</v>
      </c>
      <c r="L62" s="322">
        <v>4137</v>
      </c>
      <c r="M62" s="79">
        <v>15107</v>
      </c>
      <c r="N62" s="322">
        <v>14072</v>
      </c>
      <c r="O62" s="323">
        <f t="shared" si="0"/>
        <v>33569</v>
      </c>
      <c r="P62" s="638">
        <f t="shared" si="14"/>
        <v>33569</v>
      </c>
      <c r="Q62" s="322">
        <v>2305</v>
      </c>
      <c r="R62" s="90">
        <f t="shared" si="18"/>
        <v>1118.9666666666667</v>
      </c>
      <c r="S62" s="324">
        <f t="shared" si="2"/>
        <v>32068</v>
      </c>
      <c r="T62" s="638">
        <f t="shared" si="15"/>
        <v>32068</v>
      </c>
      <c r="U62" s="322">
        <v>1812</v>
      </c>
      <c r="V62" s="80">
        <f t="shared" si="19"/>
        <v>1068.9333333333334</v>
      </c>
      <c r="W62" s="79"/>
      <c r="X62" s="322"/>
      <c r="Y62" s="79"/>
      <c r="Z62" s="322"/>
      <c r="AA62" s="79"/>
      <c r="AB62" s="322"/>
      <c r="AC62" s="79"/>
      <c r="AD62" s="322"/>
      <c r="AE62" s="323">
        <f t="shared" si="4"/>
        <v>0</v>
      </c>
      <c r="AF62" s="638">
        <f t="shared" si="16"/>
        <v>0</v>
      </c>
      <c r="AG62" s="322"/>
      <c r="AH62" s="90">
        <f t="shared" si="5"/>
        <v>0</v>
      </c>
      <c r="AI62" s="80">
        <f t="shared" si="6"/>
        <v>0</v>
      </c>
      <c r="AJ62" s="638">
        <f t="shared" si="17"/>
        <v>0</v>
      </c>
      <c r="AK62" s="322"/>
      <c r="AL62" s="80">
        <f t="shared" si="7"/>
        <v>0</v>
      </c>
      <c r="AM62" s="79"/>
      <c r="AN62" s="322"/>
      <c r="AO62" s="79"/>
      <c r="AP62" s="322"/>
      <c r="AQ62" s="79"/>
      <c r="AR62" s="322"/>
      <c r="AS62" s="79"/>
      <c r="AT62" s="322"/>
      <c r="AU62" s="325">
        <f t="shared" si="8"/>
        <v>0</v>
      </c>
      <c r="AV62" s="90">
        <f t="shared" si="20"/>
        <v>0</v>
      </c>
      <c r="AW62" s="324">
        <f t="shared" si="10"/>
        <v>0</v>
      </c>
      <c r="AX62" s="80">
        <f t="shared" si="21"/>
        <v>0</v>
      </c>
      <c r="AY62" s="326">
        <f t="shared" si="12"/>
        <v>1118.9666666666667</v>
      </c>
      <c r="AZ62" s="80">
        <f t="shared" si="13"/>
        <v>1068.9333333333334</v>
      </c>
    </row>
    <row r="63" spans="1:52">
      <c r="A63" s="188" t="s">
        <v>833</v>
      </c>
      <c r="B63" s="191" t="s">
        <v>852</v>
      </c>
      <c r="C63" s="219">
        <v>107318</v>
      </c>
      <c r="D63" s="190">
        <v>10</v>
      </c>
      <c r="E63" s="162" t="s">
        <v>442</v>
      </c>
      <c r="F63" s="163" t="s">
        <v>442</v>
      </c>
      <c r="G63" s="79"/>
      <c r="H63" s="322"/>
      <c r="I63" s="79">
        <v>11649</v>
      </c>
      <c r="J63" s="322">
        <v>11770</v>
      </c>
      <c r="K63" s="79">
        <v>2881</v>
      </c>
      <c r="L63" s="322">
        <v>3119</v>
      </c>
      <c r="M63" s="79">
        <v>12872</v>
      </c>
      <c r="N63" s="322">
        <v>14077</v>
      </c>
      <c r="O63" s="323">
        <f t="shared" si="0"/>
        <v>27402</v>
      </c>
      <c r="P63" s="638">
        <f t="shared" si="14"/>
        <v>27402</v>
      </c>
      <c r="Q63" s="322">
        <v>2932</v>
      </c>
      <c r="R63" s="90">
        <f t="shared" si="18"/>
        <v>913.4</v>
      </c>
      <c r="S63" s="324">
        <f t="shared" si="2"/>
        <v>28966</v>
      </c>
      <c r="T63" s="638">
        <f t="shared" si="15"/>
        <v>28966</v>
      </c>
      <c r="U63" s="322">
        <v>3457</v>
      </c>
      <c r="V63" s="80">
        <f t="shared" si="19"/>
        <v>965.5333333333333</v>
      </c>
      <c r="W63" s="79"/>
      <c r="X63" s="322"/>
      <c r="Y63" s="79"/>
      <c r="Z63" s="322"/>
      <c r="AA63" s="79"/>
      <c r="AB63" s="322"/>
      <c r="AC63" s="79"/>
      <c r="AD63" s="322"/>
      <c r="AE63" s="323">
        <f t="shared" si="4"/>
        <v>0</v>
      </c>
      <c r="AF63" s="638">
        <f t="shared" si="16"/>
        <v>0</v>
      </c>
      <c r="AG63" s="322"/>
      <c r="AH63" s="90">
        <f t="shared" si="5"/>
        <v>0</v>
      </c>
      <c r="AI63" s="80">
        <f t="shared" si="6"/>
        <v>0</v>
      </c>
      <c r="AJ63" s="638">
        <f t="shared" si="17"/>
        <v>0</v>
      </c>
      <c r="AK63" s="322"/>
      <c r="AL63" s="80">
        <f t="shared" si="7"/>
        <v>0</v>
      </c>
      <c r="AM63" s="79"/>
      <c r="AN63" s="322"/>
      <c r="AO63" s="79"/>
      <c r="AP63" s="322"/>
      <c r="AQ63" s="79"/>
      <c r="AR63" s="322"/>
      <c r="AS63" s="79"/>
      <c r="AT63" s="322"/>
      <c r="AU63" s="325">
        <f t="shared" si="8"/>
        <v>0</v>
      </c>
      <c r="AV63" s="90">
        <f t="shared" si="20"/>
        <v>0</v>
      </c>
      <c r="AW63" s="324">
        <f t="shared" si="10"/>
        <v>0</v>
      </c>
      <c r="AX63" s="80">
        <f t="shared" si="21"/>
        <v>0</v>
      </c>
      <c r="AY63" s="326">
        <f t="shared" si="12"/>
        <v>913.4</v>
      </c>
      <c r="AZ63" s="80">
        <f t="shared" si="13"/>
        <v>965.5333333333333</v>
      </c>
    </row>
    <row r="64" spans="1:52">
      <c r="A64" s="188" t="s">
        <v>833</v>
      </c>
      <c r="B64" s="189" t="s">
        <v>853</v>
      </c>
      <c r="C64" s="219">
        <v>106980</v>
      </c>
      <c r="D64" s="190">
        <v>10</v>
      </c>
      <c r="E64" s="162" t="s">
        <v>442</v>
      </c>
      <c r="F64" s="163" t="s">
        <v>442</v>
      </c>
      <c r="G64" s="79"/>
      <c r="H64" s="322"/>
      <c r="I64" s="79">
        <v>23942</v>
      </c>
      <c r="J64" s="322">
        <v>26175</v>
      </c>
      <c r="K64" s="79">
        <v>5761</v>
      </c>
      <c r="L64" s="322">
        <v>6144</v>
      </c>
      <c r="M64" s="79">
        <v>27797</v>
      </c>
      <c r="N64" s="322">
        <v>31690</v>
      </c>
      <c r="O64" s="323">
        <f t="shared" si="0"/>
        <v>57500</v>
      </c>
      <c r="P64" s="638">
        <f t="shared" si="14"/>
        <v>57500</v>
      </c>
      <c r="Q64" s="322">
        <v>3861</v>
      </c>
      <c r="R64" s="90">
        <f t="shared" si="18"/>
        <v>1916.6666666666667</v>
      </c>
      <c r="S64" s="324">
        <f t="shared" si="2"/>
        <v>64009</v>
      </c>
      <c r="T64" s="638">
        <f t="shared" si="15"/>
        <v>64009</v>
      </c>
      <c r="U64" s="322">
        <v>5237</v>
      </c>
      <c r="V64" s="80">
        <f t="shared" si="19"/>
        <v>2133.6333333333332</v>
      </c>
      <c r="W64" s="79"/>
      <c r="X64" s="322"/>
      <c r="Y64" s="79"/>
      <c r="Z64" s="322"/>
      <c r="AA64" s="79"/>
      <c r="AB64" s="322"/>
      <c r="AC64" s="79"/>
      <c r="AD64" s="322"/>
      <c r="AE64" s="323">
        <f t="shared" si="4"/>
        <v>0</v>
      </c>
      <c r="AF64" s="638">
        <f t="shared" si="16"/>
        <v>0</v>
      </c>
      <c r="AG64" s="322"/>
      <c r="AH64" s="90">
        <f t="shared" si="5"/>
        <v>0</v>
      </c>
      <c r="AI64" s="80">
        <f t="shared" si="6"/>
        <v>0</v>
      </c>
      <c r="AJ64" s="638">
        <f t="shared" si="17"/>
        <v>0</v>
      </c>
      <c r="AK64" s="322"/>
      <c r="AL64" s="80">
        <f t="shared" si="7"/>
        <v>0</v>
      </c>
      <c r="AM64" s="79"/>
      <c r="AN64" s="322"/>
      <c r="AO64" s="79"/>
      <c r="AP64" s="322"/>
      <c r="AQ64" s="79"/>
      <c r="AR64" s="322"/>
      <c r="AS64" s="79"/>
      <c r="AT64" s="322"/>
      <c r="AU64" s="325">
        <f t="shared" si="8"/>
        <v>0</v>
      </c>
      <c r="AV64" s="90">
        <f t="shared" si="20"/>
        <v>0</v>
      </c>
      <c r="AW64" s="324">
        <f t="shared" si="10"/>
        <v>0</v>
      </c>
      <c r="AX64" s="80">
        <f t="shared" si="21"/>
        <v>0</v>
      </c>
      <c r="AY64" s="326">
        <f t="shared" si="12"/>
        <v>1916.6666666666667</v>
      </c>
      <c r="AZ64" s="80">
        <f t="shared" si="13"/>
        <v>2133.6333333333332</v>
      </c>
    </row>
    <row r="65" spans="1:52">
      <c r="A65" s="188" t="s">
        <v>833</v>
      </c>
      <c r="B65" s="191" t="s">
        <v>854</v>
      </c>
      <c r="C65" s="219">
        <v>107460</v>
      </c>
      <c r="D65" s="193">
        <v>10</v>
      </c>
      <c r="E65" s="162" t="s">
        <v>442</v>
      </c>
      <c r="F65" s="163" t="s">
        <v>442</v>
      </c>
      <c r="G65" s="79"/>
      <c r="H65" s="322"/>
      <c r="I65" s="79">
        <v>20792</v>
      </c>
      <c r="J65" s="322">
        <v>21363</v>
      </c>
      <c r="K65" s="79">
        <v>2663</v>
      </c>
      <c r="L65" s="322">
        <v>2608</v>
      </c>
      <c r="M65" s="79">
        <v>22238</v>
      </c>
      <c r="N65" s="322">
        <v>23654</v>
      </c>
      <c r="O65" s="323">
        <f t="shared" si="0"/>
        <v>45693</v>
      </c>
      <c r="P65" s="638">
        <f t="shared" si="14"/>
        <v>45693</v>
      </c>
      <c r="Q65" s="322">
        <v>2962</v>
      </c>
      <c r="R65" s="90">
        <f t="shared" si="18"/>
        <v>1523.1</v>
      </c>
      <c r="S65" s="324">
        <f t="shared" si="2"/>
        <v>47625</v>
      </c>
      <c r="T65" s="638">
        <f t="shared" si="15"/>
        <v>47625</v>
      </c>
      <c r="U65" s="322">
        <v>3049</v>
      </c>
      <c r="V65" s="80">
        <f t="shared" si="19"/>
        <v>1587.5</v>
      </c>
      <c r="W65" s="79"/>
      <c r="X65" s="322"/>
      <c r="Y65" s="79"/>
      <c r="Z65" s="322"/>
      <c r="AA65" s="79"/>
      <c r="AB65" s="322"/>
      <c r="AC65" s="79"/>
      <c r="AD65" s="322"/>
      <c r="AE65" s="323">
        <f t="shared" si="4"/>
        <v>0</v>
      </c>
      <c r="AF65" s="638">
        <f t="shared" si="16"/>
        <v>0</v>
      </c>
      <c r="AG65" s="322"/>
      <c r="AH65" s="90">
        <f t="shared" si="5"/>
        <v>0</v>
      </c>
      <c r="AI65" s="80">
        <f t="shared" si="6"/>
        <v>0</v>
      </c>
      <c r="AJ65" s="638">
        <f t="shared" si="17"/>
        <v>0</v>
      </c>
      <c r="AK65" s="322"/>
      <c r="AL65" s="80">
        <f t="shared" si="7"/>
        <v>0</v>
      </c>
      <c r="AM65" s="79"/>
      <c r="AN65" s="322"/>
      <c r="AO65" s="79"/>
      <c r="AP65" s="322"/>
      <c r="AQ65" s="79"/>
      <c r="AR65" s="322"/>
      <c r="AS65" s="79"/>
      <c r="AT65" s="322"/>
      <c r="AU65" s="325">
        <f t="shared" si="8"/>
        <v>0</v>
      </c>
      <c r="AV65" s="90">
        <f t="shared" si="20"/>
        <v>0</v>
      </c>
      <c r="AW65" s="324">
        <f t="shared" si="10"/>
        <v>0</v>
      </c>
      <c r="AX65" s="80">
        <f t="shared" si="21"/>
        <v>0</v>
      </c>
      <c r="AY65" s="326">
        <f t="shared" si="12"/>
        <v>1523.1</v>
      </c>
      <c r="AZ65" s="80">
        <f t="shared" si="13"/>
        <v>1587.5</v>
      </c>
    </row>
    <row r="66" spans="1:52">
      <c r="A66" s="188" t="s">
        <v>833</v>
      </c>
      <c r="B66" s="191" t="s">
        <v>855</v>
      </c>
      <c r="C66" s="219">
        <v>107521</v>
      </c>
      <c r="D66" s="190">
        <v>10</v>
      </c>
      <c r="E66" s="162" t="s">
        <v>442</v>
      </c>
      <c r="F66" s="163" t="s">
        <v>442</v>
      </c>
      <c r="G66" s="79"/>
      <c r="H66" s="322"/>
      <c r="I66" s="79">
        <v>11411</v>
      </c>
      <c r="J66" s="322">
        <v>11749</v>
      </c>
      <c r="K66" s="79">
        <v>2256</v>
      </c>
      <c r="L66" s="322">
        <v>2766</v>
      </c>
      <c r="M66" s="79">
        <v>12319</v>
      </c>
      <c r="N66" s="535">
        <v>12517</v>
      </c>
      <c r="O66" s="323">
        <f t="shared" si="0"/>
        <v>25986</v>
      </c>
      <c r="P66" s="638">
        <f t="shared" si="14"/>
        <v>25986</v>
      </c>
      <c r="Q66" s="322">
        <v>4455</v>
      </c>
      <c r="R66" s="90">
        <f t="shared" si="18"/>
        <v>866.2</v>
      </c>
      <c r="S66" s="324">
        <f t="shared" si="2"/>
        <v>27032</v>
      </c>
      <c r="T66" s="638">
        <f t="shared" si="15"/>
        <v>27032</v>
      </c>
      <c r="U66" s="322">
        <v>4307</v>
      </c>
      <c r="V66" s="80">
        <f t="shared" si="19"/>
        <v>901.06666666666672</v>
      </c>
      <c r="W66" s="79"/>
      <c r="X66" s="322"/>
      <c r="Y66" s="79"/>
      <c r="Z66" s="322"/>
      <c r="AA66" s="79"/>
      <c r="AB66" s="322"/>
      <c r="AC66" s="79"/>
      <c r="AD66" s="322"/>
      <c r="AE66" s="323">
        <f t="shared" si="4"/>
        <v>0</v>
      </c>
      <c r="AF66" s="638">
        <f t="shared" si="16"/>
        <v>0</v>
      </c>
      <c r="AG66" s="322"/>
      <c r="AH66" s="90">
        <f t="shared" si="5"/>
        <v>0</v>
      </c>
      <c r="AI66" s="80">
        <f t="shared" si="6"/>
        <v>0</v>
      </c>
      <c r="AJ66" s="638">
        <f t="shared" si="17"/>
        <v>0</v>
      </c>
      <c r="AK66" s="322"/>
      <c r="AL66" s="80">
        <f t="shared" si="7"/>
        <v>0</v>
      </c>
      <c r="AM66" s="79"/>
      <c r="AN66" s="322"/>
      <c r="AO66" s="79"/>
      <c r="AP66" s="322"/>
      <c r="AQ66" s="79"/>
      <c r="AR66" s="322"/>
      <c r="AS66" s="79"/>
      <c r="AT66" s="322"/>
      <c r="AU66" s="325">
        <f t="shared" si="8"/>
        <v>0</v>
      </c>
      <c r="AV66" s="90">
        <f t="shared" si="20"/>
        <v>0</v>
      </c>
      <c r="AW66" s="324">
        <f t="shared" si="10"/>
        <v>0</v>
      </c>
      <c r="AX66" s="80">
        <f t="shared" si="21"/>
        <v>0</v>
      </c>
      <c r="AY66" s="326">
        <f t="shared" si="12"/>
        <v>866.2</v>
      </c>
      <c r="AZ66" s="80">
        <f t="shared" si="13"/>
        <v>901.06666666666672</v>
      </c>
    </row>
    <row r="67" spans="1:52">
      <c r="A67" s="188" t="s">
        <v>833</v>
      </c>
      <c r="B67" s="191" t="s">
        <v>856</v>
      </c>
      <c r="C67" s="219">
        <v>107549</v>
      </c>
      <c r="D67" s="190">
        <v>10</v>
      </c>
      <c r="E67" s="162" t="s">
        <v>442</v>
      </c>
      <c r="F67" s="163" t="s">
        <v>442</v>
      </c>
      <c r="G67" s="79"/>
      <c r="H67" s="322"/>
      <c r="I67" s="79">
        <v>9457</v>
      </c>
      <c r="J67" s="322">
        <v>11927</v>
      </c>
      <c r="K67" s="79">
        <v>1591</v>
      </c>
      <c r="L67" s="322">
        <v>2216</v>
      </c>
      <c r="M67" s="79">
        <v>11998</v>
      </c>
      <c r="N67" s="322">
        <v>12745</v>
      </c>
      <c r="O67" s="323">
        <f t="shared" si="0"/>
        <v>23046</v>
      </c>
      <c r="P67" s="638">
        <f t="shared" si="14"/>
        <v>23046</v>
      </c>
      <c r="Q67" s="322">
        <v>1511</v>
      </c>
      <c r="R67" s="90">
        <f t="shared" si="18"/>
        <v>768.2</v>
      </c>
      <c r="S67" s="324">
        <f t="shared" si="2"/>
        <v>26888</v>
      </c>
      <c r="T67" s="638">
        <f t="shared" si="15"/>
        <v>26888</v>
      </c>
      <c r="U67" s="322">
        <v>1376</v>
      </c>
      <c r="V67" s="80">
        <f t="shared" si="19"/>
        <v>896.26666666666665</v>
      </c>
      <c r="W67" s="79"/>
      <c r="X67" s="322"/>
      <c r="Y67" s="79"/>
      <c r="Z67" s="322"/>
      <c r="AA67" s="79"/>
      <c r="AB67" s="322"/>
      <c r="AC67" s="79"/>
      <c r="AD67" s="322"/>
      <c r="AE67" s="323">
        <f t="shared" si="4"/>
        <v>0</v>
      </c>
      <c r="AF67" s="638">
        <f t="shared" si="16"/>
        <v>0</v>
      </c>
      <c r="AG67" s="322"/>
      <c r="AH67" s="90">
        <f t="shared" si="5"/>
        <v>0</v>
      </c>
      <c r="AI67" s="80">
        <f t="shared" si="6"/>
        <v>0</v>
      </c>
      <c r="AJ67" s="638">
        <f t="shared" si="17"/>
        <v>0</v>
      </c>
      <c r="AK67" s="322"/>
      <c r="AL67" s="80">
        <f t="shared" si="7"/>
        <v>0</v>
      </c>
      <c r="AM67" s="79"/>
      <c r="AN67" s="322"/>
      <c r="AO67" s="79"/>
      <c r="AP67" s="322"/>
      <c r="AQ67" s="79"/>
      <c r="AR67" s="322"/>
      <c r="AS67" s="79"/>
      <c r="AT67" s="322"/>
      <c r="AU67" s="325">
        <f t="shared" si="8"/>
        <v>0</v>
      </c>
      <c r="AV67" s="90">
        <f t="shared" si="20"/>
        <v>0</v>
      </c>
      <c r="AW67" s="324">
        <f t="shared" si="10"/>
        <v>0</v>
      </c>
      <c r="AX67" s="80">
        <f t="shared" si="21"/>
        <v>0</v>
      </c>
      <c r="AY67" s="326">
        <f t="shared" si="12"/>
        <v>768.2</v>
      </c>
      <c r="AZ67" s="80">
        <f t="shared" si="13"/>
        <v>896.26666666666665</v>
      </c>
    </row>
    <row r="68" spans="1:52">
      <c r="A68" s="188" t="s">
        <v>833</v>
      </c>
      <c r="B68" s="191" t="s">
        <v>857</v>
      </c>
      <c r="C68" s="219">
        <v>107619</v>
      </c>
      <c r="D68" s="190">
        <v>10</v>
      </c>
      <c r="E68" s="162" t="s">
        <v>442</v>
      </c>
      <c r="F68" s="163" t="s">
        <v>442</v>
      </c>
      <c r="G68" s="79"/>
      <c r="H68" s="322"/>
      <c r="I68" s="79">
        <v>16029</v>
      </c>
      <c r="J68" s="322">
        <v>17293</v>
      </c>
      <c r="K68" s="79">
        <v>3955</v>
      </c>
      <c r="L68" s="322">
        <v>3290</v>
      </c>
      <c r="M68" s="79">
        <v>19579</v>
      </c>
      <c r="N68" s="322">
        <v>19483</v>
      </c>
      <c r="O68" s="323">
        <f t="shared" ref="O68:O131" si="22">SUM(G68,I68,K68,M68)</f>
        <v>39563</v>
      </c>
      <c r="P68" s="638">
        <f t="shared" si="14"/>
        <v>39563</v>
      </c>
      <c r="Q68" s="322">
        <v>6689</v>
      </c>
      <c r="R68" s="90">
        <f t="shared" ref="R68:R99" si="23">+O68/30</f>
        <v>1318.7666666666667</v>
      </c>
      <c r="S68" s="324">
        <f t="shared" ref="S68:S131" si="24">SUM(H68,J68,L68,N68)</f>
        <v>40066</v>
      </c>
      <c r="T68" s="638">
        <f t="shared" si="15"/>
        <v>40066</v>
      </c>
      <c r="U68" s="322">
        <v>7292</v>
      </c>
      <c r="V68" s="80">
        <f t="shared" ref="V68:V99" si="25">+S68/30</f>
        <v>1335.5333333333333</v>
      </c>
      <c r="W68" s="79"/>
      <c r="X68" s="322"/>
      <c r="Y68" s="79"/>
      <c r="Z68" s="322"/>
      <c r="AA68" s="79"/>
      <c r="AB68" s="322"/>
      <c r="AC68" s="79"/>
      <c r="AD68" s="322"/>
      <c r="AE68" s="323">
        <f t="shared" ref="AE68:AE131" si="26">SUM(W68,Y68,AA68,AC68)</f>
        <v>0</v>
      </c>
      <c r="AF68" s="638">
        <f t="shared" si="16"/>
        <v>0</v>
      </c>
      <c r="AG68" s="322"/>
      <c r="AH68" s="90">
        <f t="shared" ref="AH68:AH131" si="27">+AE68/900</f>
        <v>0</v>
      </c>
      <c r="AI68" s="80">
        <f t="shared" ref="AI68:AI131" si="28">SUM(X68,Z68,AB68,AD68)</f>
        <v>0</v>
      </c>
      <c r="AJ68" s="638">
        <f t="shared" si="17"/>
        <v>0</v>
      </c>
      <c r="AK68" s="322"/>
      <c r="AL68" s="80">
        <f t="shared" ref="AL68:AL131" si="29">+AI68/900</f>
        <v>0</v>
      </c>
      <c r="AM68" s="79"/>
      <c r="AN68" s="322"/>
      <c r="AO68" s="79"/>
      <c r="AP68" s="322"/>
      <c r="AQ68" s="79"/>
      <c r="AR68" s="322"/>
      <c r="AS68" s="79"/>
      <c r="AT68" s="322"/>
      <c r="AU68" s="325">
        <f t="shared" ref="AU68:AU131" si="30">SUM(AM68,AO68,AQ68,AS68)</f>
        <v>0</v>
      </c>
      <c r="AV68" s="90">
        <f t="shared" ref="AV68:AV99" si="31">+AU68/24</f>
        <v>0</v>
      </c>
      <c r="AW68" s="324">
        <f t="shared" ref="AW68:AW131" si="32">SUM(AN68,AP68,AR68,AT68)</f>
        <v>0</v>
      </c>
      <c r="AX68" s="80">
        <f t="shared" ref="AX68:AX99" si="33">+AW68/24</f>
        <v>0</v>
      </c>
      <c r="AY68" s="326">
        <f t="shared" ref="AY68:AY131" si="34">SUM(R68,AH68,AV68)</f>
        <v>1318.7666666666667</v>
      </c>
      <c r="AZ68" s="80">
        <f t="shared" ref="AZ68:AZ131" si="35">SUM(V68,AL68,AX68)</f>
        <v>1335.5333333333333</v>
      </c>
    </row>
    <row r="69" spans="1:52">
      <c r="A69" s="188" t="s">
        <v>833</v>
      </c>
      <c r="B69" s="191" t="s">
        <v>858</v>
      </c>
      <c r="C69" s="219">
        <v>107743</v>
      </c>
      <c r="D69" s="190">
        <v>10</v>
      </c>
      <c r="E69" s="162" t="s">
        <v>442</v>
      </c>
      <c r="F69" s="163" t="s">
        <v>442</v>
      </c>
      <c r="G69" s="79"/>
      <c r="H69" s="322"/>
      <c r="I69" s="79">
        <v>6782</v>
      </c>
      <c r="J69" s="322">
        <v>7724</v>
      </c>
      <c r="K69" s="79">
        <v>954</v>
      </c>
      <c r="L69" s="322">
        <v>1344</v>
      </c>
      <c r="M69" s="79">
        <v>8129</v>
      </c>
      <c r="N69" s="322">
        <v>8444</v>
      </c>
      <c r="O69" s="323">
        <f t="shared" si="22"/>
        <v>15865</v>
      </c>
      <c r="P69" s="638">
        <f t="shared" ref="P69:P132" si="36">IF(Q69="—",0,O69)</f>
        <v>15865</v>
      </c>
      <c r="Q69" s="322">
        <v>2171</v>
      </c>
      <c r="R69" s="90">
        <f t="shared" si="23"/>
        <v>528.83333333333337</v>
      </c>
      <c r="S69" s="324">
        <f t="shared" si="24"/>
        <v>17512</v>
      </c>
      <c r="T69" s="638">
        <f t="shared" ref="T69:T132" si="37">IF(U69="—",0,S69)</f>
        <v>17512</v>
      </c>
      <c r="U69" s="322">
        <v>2356</v>
      </c>
      <c r="V69" s="80">
        <f t="shared" si="25"/>
        <v>583.73333333333335</v>
      </c>
      <c r="W69" s="79"/>
      <c r="X69" s="322"/>
      <c r="Y69" s="79"/>
      <c r="Z69" s="322"/>
      <c r="AA69" s="79"/>
      <c r="AB69" s="322"/>
      <c r="AC69" s="79"/>
      <c r="AD69" s="322"/>
      <c r="AE69" s="323">
        <f t="shared" si="26"/>
        <v>0</v>
      </c>
      <c r="AF69" s="638">
        <f t="shared" ref="AF69:AF132" si="38">IF(AG69="—",0,AE69)</f>
        <v>0</v>
      </c>
      <c r="AG69" s="322"/>
      <c r="AH69" s="90">
        <f t="shared" si="27"/>
        <v>0</v>
      </c>
      <c r="AI69" s="80">
        <f t="shared" si="28"/>
        <v>0</v>
      </c>
      <c r="AJ69" s="638">
        <f t="shared" ref="AJ69:AJ132" si="39">IF(AK69="—",0,AI69)</f>
        <v>0</v>
      </c>
      <c r="AK69" s="322"/>
      <c r="AL69" s="80">
        <f t="shared" si="29"/>
        <v>0</v>
      </c>
      <c r="AM69" s="79"/>
      <c r="AN69" s="322"/>
      <c r="AO69" s="79"/>
      <c r="AP69" s="322"/>
      <c r="AQ69" s="79"/>
      <c r="AR69" s="322"/>
      <c r="AS69" s="79"/>
      <c r="AT69" s="322"/>
      <c r="AU69" s="325">
        <f t="shared" si="30"/>
        <v>0</v>
      </c>
      <c r="AV69" s="90">
        <f t="shared" si="31"/>
        <v>0</v>
      </c>
      <c r="AW69" s="324">
        <f t="shared" si="32"/>
        <v>0</v>
      </c>
      <c r="AX69" s="80">
        <f t="shared" si="33"/>
        <v>0</v>
      </c>
      <c r="AY69" s="326">
        <f t="shared" si="34"/>
        <v>528.83333333333337</v>
      </c>
      <c r="AZ69" s="80">
        <f t="shared" si="35"/>
        <v>583.73333333333335</v>
      </c>
    </row>
    <row r="70" spans="1:52">
      <c r="A70" s="188" t="s">
        <v>833</v>
      </c>
      <c r="B70" s="191" t="s">
        <v>859</v>
      </c>
      <c r="C70" s="219">
        <v>107974</v>
      </c>
      <c r="D70" s="190">
        <v>10</v>
      </c>
      <c r="E70" s="162" t="s">
        <v>442</v>
      </c>
      <c r="F70" s="163" t="s">
        <v>442</v>
      </c>
      <c r="G70" s="79"/>
      <c r="H70" s="322"/>
      <c r="I70" s="79">
        <v>12313</v>
      </c>
      <c r="J70" s="322">
        <v>13219</v>
      </c>
      <c r="K70" s="79">
        <v>5093</v>
      </c>
      <c r="L70" s="322">
        <v>5706</v>
      </c>
      <c r="M70" s="79">
        <v>13669</v>
      </c>
      <c r="N70" s="322">
        <v>14925</v>
      </c>
      <c r="O70" s="323">
        <f t="shared" si="22"/>
        <v>31075</v>
      </c>
      <c r="P70" s="638">
        <f t="shared" si="36"/>
        <v>31075</v>
      </c>
      <c r="Q70" s="322">
        <v>1310</v>
      </c>
      <c r="R70" s="90">
        <f t="shared" si="23"/>
        <v>1035.8333333333333</v>
      </c>
      <c r="S70" s="324">
        <f t="shared" si="24"/>
        <v>33850</v>
      </c>
      <c r="T70" s="638">
        <f t="shared" si="37"/>
        <v>33850</v>
      </c>
      <c r="U70" s="535">
        <v>1701</v>
      </c>
      <c r="V70" s="80">
        <f t="shared" si="25"/>
        <v>1128.3333333333333</v>
      </c>
      <c r="W70" s="79"/>
      <c r="X70" s="322"/>
      <c r="Y70" s="79"/>
      <c r="Z70" s="322"/>
      <c r="AA70" s="79"/>
      <c r="AB70" s="322"/>
      <c r="AC70" s="79"/>
      <c r="AD70" s="322"/>
      <c r="AE70" s="323">
        <f t="shared" si="26"/>
        <v>0</v>
      </c>
      <c r="AF70" s="638">
        <f t="shared" si="38"/>
        <v>0</v>
      </c>
      <c r="AG70" s="322"/>
      <c r="AH70" s="90">
        <f t="shared" si="27"/>
        <v>0</v>
      </c>
      <c r="AI70" s="80">
        <f t="shared" si="28"/>
        <v>0</v>
      </c>
      <c r="AJ70" s="638">
        <f t="shared" si="39"/>
        <v>0</v>
      </c>
      <c r="AK70" s="322"/>
      <c r="AL70" s="80">
        <f t="shared" si="29"/>
        <v>0</v>
      </c>
      <c r="AM70" s="79"/>
      <c r="AN70" s="322"/>
      <c r="AO70" s="79"/>
      <c r="AP70" s="322"/>
      <c r="AQ70" s="79"/>
      <c r="AR70" s="322"/>
      <c r="AS70" s="79"/>
      <c r="AT70" s="322"/>
      <c r="AU70" s="325">
        <f t="shared" si="30"/>
        <v>0</v>
      </c>
      <c r="AV70" s="90">
        <f t="shared" si="31"/>
        <v>0</v>
      </c>
      <c r="AW70" s="324">
        <f t="shared" si="32"/>
        <v>0</v>
      </c>
      <c r="AX70" s="80">
        <f t="shared" si="33"/>
        <v>0</v>
      </c>
      <c r="AY70" s="326">
        <f t="shared" si="34"/>
        <v>1035.8333333333333</v>
      </c>
      <c r="AZ70" s="80">
        <f t="shared" si="35"/>
        <v>1128.3333333333333</v>
      </c>
    </row>
    <row r="71" spans="1:52">
      <c r="A71" s="188" t="s">
        <v>833</v>
      </c>
      <c r="B71" s="191" t="s">
        <v>860</v>
      </c>
      <c r="C71" s="219">
        <v>107637</v>
      </c>
      <c r="D71" s="190">
        <v>10</v>
      </c>
      <c r="E71" s="162" t="s">
        <v>442</v>
      </c>
      <c r="F71" s="163" t="s">
        <v>442</v>
      </c>
      <c r="G71" s="79"/>
      <c r="H71" s="322"/>
      <c r="I71" s="79">
        <v>19570</v>
      </c>
      <c r="J71" s="322">
        <v>19378</v>
      </c>
      <c r="K71" s="79">
        <v>6658</v>
      </c>
      <c r="L71" s="322">
        <v>6339</v>
      </c>
      <c r="M71" s="79">
        <v>21045</v>
      </c>
      <c r="N71" s="322">
        <v>19870</v>
      </c>
      <c r="O71" s="323">
        <f t="shared" si="22"/>
        <v>47273</v>
      </c>
      <c r="P71" s="638">
        <f t="shared" si="36"/>
        <v>47273</v>
      </c>
      <c r="Q71" s="322">
        <v>1173</v>
      </c>
      <c r="R71" s="90">
        <f t="shared" si="23"/>
        <v>1575.7666666666667</v>
      </c>
      <c r="S71" s="324">
        <f t="shared" si="24"/>
        <v>45587</v>
      </c>
      <c r="T71" s="638">
        <f t="shared" si="37"/>
        <v>45587</v>
      </c>
      <c r="U71" s="322">
        <v>1307</v>
      </c>
      <c r="V71" s="80">
        <f t="shared" si="25"/>
        <v>1519.5666666666666</v>
      </c>
      <c r="W71" s="79"/>
      <c r="X71" s="322"/>
      <c r="Y71" s="79"/>
      <c r="Z71" s="322"/>
      <c r="AA71" s="79"/>
      <c r="AB71" s="322"/>
      <c r="AC71" s="79"/>
      <c r="AD71" s="322"/>
      <c r="AE71" s="323">
        <f t="shared" si="26"/>
        <v>0</v>
      </c>
      <c r="AF71" s="638">
        <f t="shared" si="38"/>
        <v>0</v>
      </c>
      <c r="AG71" s="322"/>
      <c r="AH71" s="90">
        <f t="shared" si="27"/>
        <v>0</v>
      </c>
      <c r="AI71" s="80">
        <f t="shared" si="28"/>
        <v>0</v>
      </c>
      <c r="AJ71" s="638">
        <f t="shared" si="39"/>
        <v>0</v>
      </c>
      <c r="AK71" s="322"/>
      <c r="AL71" s="80">
        <f t="shared" si="29"/>
        <v>0</v>
      </c>
      <c r="AM71" s="79"/>
      <c r="AN71" s="322"/>
      <c r="AO71" s="79"/>
      <c r="AP71" s="322"/>
      <c r="AQ71" s="79"/>
      <c r="AR71" s="322"/>
      <c r="AS71" s="79"/>
      <c r="AT71" s="322"/>
      <c r="AU71" s="325">
        <f t="shared" si="30"/>
        <v>0</v>
      </c>
      <c r="AV71" s="90">
        <f t="shared" si="31"/>
        <v>0</v>
      </c>
      <c r="AW71" s="324">
        <f t="shared" si="32"/>
        <v>0</v>
      </c>
      <c r="AX71" s="80">
        <f t="shared" si="33"/>
        <v>0</v>
      </c>
      <c r="AY71" s="326">
        <f t="shared" si="34"/>
        <v>1575.7666666666667</v>
      </c>
      <c r="AZ71" s="80">
        <f t="shared" si="35"/>
        <v>1519.5666666666666</v>
      </c>
    </row>
    <row r="72" spans="1:52">
      <c r="A72" s="188" t="s">
        <v>833</v>
      </c>
      <c r="B72" s="191" t="s">
        <v>861</v>
      </c>
      <c r="C72" s="219">
        <v>107992</v>
      </c>
      <c r="D72" s="190">
        <v>10</v>
      </c>
      <c r="E72" s="162" t="s">
        <v>442</v>
      </c>
      <c r="F72" s="163" t="s">
        <v>442</v>
      </c>
      <c r="G72" s="79"/>
      <c r="H72" s="322"/>
      <c r="I72" s="79">
        <v>15574</v>
      </c>
      <c r="J72" s="322">
        <v>16427</v>
      </c>
      <c r="K72" s="79">
        <v>4530</v>
      </c>
      <c r="L72" s="322">
        <v>5406</v>
      </c>
      <c r="M72" s="79">
        <v>18412</v>
      </c>
      <c r="N72" s="322">
        <v>17528</v>
      </c>
      <c r="O72" s="323">
        <f t="shared" si="22"/>
        <v>38516</v>
      </c>
      <c r="P72" s="638">
        <f t="shared" si="36"/>
        <v>38516</v>
      </c>
      <c r="Q72" s="322">
        <v>9048</v>
      </c>
      <c r="R72" s="90">
        <f t="shared" si="23"/>
        <v>1283.8666666666666</v>
      </c>
      <c r="S72" s="324">
        <f t="shared" si="24"/>
        <v>39361</v>
      </c>
      <c r="T72" s="638">
        <f t="shared" si="37"/>
        <v>39361</v>
      </c>
      <c r="U72" s="535">
        <v>8310</v>
      </c>
      <c r="V72" s="80">
        <f t="shared" si="25"/>
        <v>1312.0333333333333</v>
      </c>
      <c r="W72" s="79"/>
      <c r="X72" s="322"/>
      <c r="Y72" s="79"/>
      <c r="Z72" s="322"/>
      <c r="AA72" s="79"/>
      <c r="AB72" s="322"/>
      <c r="AC72" s="79"/>
      <c r="AD72" s="322"/>
      <c r="AE72" s="323">
        <f t="shared" si="26"/>
        <v>0</v>
      </c>
      <c r="AF72" s="638">
        <f t="shared" si="38"/>
        <v>0</v>
      </c>
      <c r="AG72" s="322"/>
      <c r="AH72" s="90">
        <f t="shared" si="27"/>
        <v>0</v>
      </c>
      <c r="AI72" s="80">
        <f t="shared" si="28"/>
        <v>0</v>
      </c>
      <c r="AJ72" s="638">
        <f t="shared" si="39"/>
        <v>0</v>
      </c>
      <c r="AK72" s="322"/>
      <c r="AL72" s="80">
        <f t="shared" si="29"/>
        <v>0</v>
      </c>
      <c r="AM72" s="79"/>
      <c r="AN72" s="322"/>
      <c r="AO72" s="79"/>
      <c r="AP72" s="322"/>
      <c r="AQ72" s="79"/>
      <c r="AR72" s="322"/>
      <c r="AS72" s="79"/>
      <c r="AT72" s="322"/>
      <c r="AU72" s="325">
        <f t="shared" si="30"/>
        <v>0</v>
      </c>
      <c r="AV72" s="90">
        <f t="shared" si="31"/>
        <v>0</v>
      </c>
      <c r="AW72" s="324">
        <f t="shared" si="32"/>
        <v>0</v>
      </c>
      <c r="AX72" s="80">
        <f t="shared" si="33"/>
        <v>0</v>
      </c>
      <c r="AY72" s="326">
        <f t="shared" si="34"/>
        <v>1283.8666666666666</v>
      </c>
      <c r="AZ72" s="80">
        <f t="shared" si="35"/>
        <v>1312.0333333333333</v>
      </c>
    </row>
    <row r="73" spans="1:52">
      <c r="A73" s="188" t="s">
        <v>833</v>
      </c>
      <c r="B73" s="191" t="s">
        <v>862</v>
      </c>
      <c r="C73" s="219">
        <v>106999</v>
      </c>
      <c r="D73" s="190">
        <v>10</v>
      </c>
      <c r="E73" s="162" t="s">
        <v>442</v>
      </c>
      <c r="F73" s="163" t="s">
        <v>442</v>
      </c>
      <c r="G73" s="79"/>
      <c r="H73" s="322"/>
      <c r="I73" s="79">
        <v>13396</v>
      </c>
      <c r="J73" s="322">
        <v>14964</v>
      </c>
      <c r="K73" s="79">
        <v>2457</v>
      </c>
      <c r="L73" s="322">
        <v>4278</v>
      </c>
      <c r="M73" s="79">
        <v>15430</v>
      </c>
      <c r="N73" s="322">
        <v>16394</v>
      </c>
      <c r="O73" s="323">
        <f t="shared" si="22"/>
        <v>31283</v>
      </c>
      <c r="P73" s="638">
        <f t="shared" si="36"/>
        <v>31283</v>
      </c>
      <c r="Q73" s="322">
        <v>766</v>
      </c>
      <c r="R73" s="90">
        <f t="shared" si="23"/>
        <v>1042.7666666666667</v>
      </c>
      <c r="S73" s="324">
        <f t="shared" si="24"/>
        <v>35636</v>
      </c>
      <c r="T73" s="638">
        <f t="shared" si="37"/>
        <v>35636</v>
      </c>
      <c r="U73" s="322">
        <v>705</v>
      </c>
      <c r="V73" s="80">
        <f t="shared" si="25"/>
        <v>1187.8666666666666</v>
      </c>
      <c r="W73" s="79"/>
      <c r="X73" s="322"/>
      <c r="Y73" s="79"/>
      <c r="Z73" s="322"/>
      <c r="AA73" s="79"/>
      <c r="AB73" s="322"/>
      <c r="AC73" s="79"/>
      <c r="AD73" s="322"/>
      <c r="AE73" s="323">
        <f t="shared" si="26"/>
        <v>0</v>
      </c>
      <c r="AF73" s="638">
        <f t="shared" si="38"/>
        <v>0</v>
      </c>
      <c r="AG73" s="322"/>
      <c r="AH73" s="90">
        <f t="shared" si="27"/>
        <v>0</v>
      </c>
      <c r="AI73" s="80">
        <f t="shared" si="28"/>
        <v>0</v>
      </c>
      <c r="AJ73" s="638">
        <f t="shared" si="39"/>
        <v>0</v>
      </c>
      <c r="AK73" s="322"/>
      <c r="AL73" s="80">
        <f t="shared" si="29"/>
        <v>0</v>
      </c>
      <c r="AM73" s="79"/>
      <c r="AN73" s="322"/>
      <c r="AO73" s="79"/>
      <c r="AP73" s="322"/>
      <c r="AQ73" s="79"/>
      <c r="AR73" s="322"/>
      <c r="AS73" s="79"/>
      <c r="AT73" s="322"/>
      <c r="AU73" s="325">
        <f t="shared" si="30"/>
        <v>0</v>
      </c>
      <c r="AV73" s="90">
        <f t="shared" si="31"/>
        <v>0</v>
      </c>
      <c r="AW73" s="324">
        <f t="shared" si="32"/>
        <v>0</v>
      </c>
      <c r="AX73" s="80">
        <f t="shared" si="33"/>
        <v>0</v>
      </c>
      <c r="AY73" s="326">
        <f t="shared" si="34"/>
        <v>1042.7666666666667</v>
      </c>
      <c r="AZ73" s="80">
        <f t="shared" si="35"/>
        <v>1187.8666666666666</v>
      </c>
    </row>
    <row r="74" spans="1:52">
      <c r="A74" s="188" t="s">
        <v>833</v>
      </c>
      <c r="B74" s="191" t="s">
        <v>863</v>
      </c>
      <c r="C74" s="219">
        <v>107725</v>
      </c>
      <c r="D74" s="190">
        <v>10</v>
      </c>
      <c r="E74" s="162" t="s">
        <v>442</v>
      </c>
      <c r="F74" s="163" t="s">
        <v>442</v>
      </c>
      <c r="G74" s="79"/>
      <c r="H74" s="322"/>
      <c r="I74" s="79">
        <v>10393</v>
      </c>
      <c r="J74" s="322">
        <v>11789</v>
      </c>
      <c r="K74" s="79">
        <v>2089</v>
      </c>
      <c r="L74" s="322">
        <v>2494</v>
      </c>
      <c r="M74" s="79">
        <v>13428</v>
      </c>
      <c r="N74" s="322">
        <v>12872</v>
      </c>
      <c r="O74" s="323">
        <f t="shared" si="22"/>
        <v>25910</v>
      </c>
      <c r="P74" s="638">
        <f t="shared" si="36"/>
        <v>25910</v>
      </c>
      <c r="Q74" s="322">
        <v>931</v>
      </c>
      <c r="R74" s="90">
        <f t="shared" si="23"/>
        <v>863.66666666666663</v>
      </c>
      <c r="S74" s="324">
        <f t="shared" si="24"/>
        <v>27155</v>
      </c>
      <c r="T74" s="638">
        <f t="shared" si="37"/>
        <v>27155</v>
      </c>
      <c r="U74" s="322">
        <v>1296</v>
      </c>
      <c r="V74" s="80">
        <f t="shared" si="25"/>
        <v>905.16666666666663</v>
      </c>
      <c r="W74" s="79"/>
      <c r="X74" s="322"/>
      <c r="Y74" s="79"/>
      <c r="Z74" s="322"/>
      <c r="AA74" s="79"/>
      <c r="AB74" s="322"/>
      <c r="AC74" s="79"/>
      <c r="AD74" s="322"/>
      <c r="AE74" s="323">
        <f t="shared" si="26"/>
        <v>0</v>
      </c>
      <c r="AF74" s="638">
        <f t="shared" si="38"/>
        <v>0</v>
      </c>
      <c r="AG74" s="322"/>
      <c r="AH74" s="90">
        <f t="shared" si="27"/>
        <v>0</v>
      </c>
      <c r="AI74" s="80">
        <f t="shared" si="28"/>
        <v>0</v>
      </c>
      <c r="AJ74" s="638">
        <f t="shared" si="39"/>
        <v>0</v>
      </c>
      <c r="AK74" s="322"/>
      <c r="AL74" s="80">
        <f t="shared" si="29"/>
        <v>0</v>
      </c>
      <c r="AM74" s="79"/>
      <c r="AN74" s="322"/>
      <c r="AO74" s="79"/>
      <c r="AP74" s="322"/>
      <c r="AQ74" s="79"/>
      <c r="AR74" s="322"/>
      <c r="AS74" s="79"/>
      <c r="AT74" s="322"/>
      <c r="AU74" s="325">
        <f t="shared" si="30"/>
        <v>0</v>
      </c>
      <c r="AV74" s="90">
        <f t="shared" si="31"/>
        <v>0</v>
      </c>
      <c r="AW74" s="324">
        <f t="shared" si="32"/>
        <v>0</v>
      </c>
      <c r="AX74" s="80">
        <f t="shared" si="33"/>
        <v>0</v>
      </c>
      <c r="AY74" s="326">
        <f t="shared" si="34"/>
        <v>863.66666666666663</v>
      </c>
      <c r="AZ74" s="80">
        <f t="shared" si="35"/>
        <v>905.16666666666663</v>
      </c>
    </row>
    <row r="75" spans="1:52">
      <c r="A75" s="188" t="s">
        <v>833</v>
      </c>
      <c r="B75" s="191" t="s">
        <v>864</v>
      </c>
      <c r="C75" s="219">
        <v>107585</v>
      </c>
      <c r="D75" s="190">
        <v>10</v>
      </c>
      <c r="E75" s="162" t="s">
        <v>442</v>
      </c>
      <c r="F75" s="163" t="s">
        <v>442</v>
      </c>
      <c r="G75" s="79"/>
      <c r="H75" s="322"/>
      <c r="I75" s="79">
        <v>17263</v>
      </c>
      <c r="J75" s="322">
        <v>18457</v>
      </c>
      <c r="K75" s="79">
        <v>2232</v>
      </c>
      <c r="L75" s="322">
        <v>2571</v>
      </c>
      <c r="M75" s="79">
        <v>20498</v>
      </c>
      <c r="N75" s="322">
        <v>22181</v>
      </c>
      <c r="O75" s="323">
        <f t="shared" si="22"/>
        <v>39993</v>
      </c>
      <c r="P75" s="638">
        <f t="shared" si="36"/>
        <v>39993</v>
      </c>
      <c r="Q75" s="322">
        <v>501</v>
      </c>
      <c r="R75" s="90">
        <f t="shared" si="23"/>
        <v>1333.1</v>
      </c>
      <c r="S75" s="324">
        <f t="shared" si="24"/>
        <v>43209</v>
      </c>
      <c r="T75" s="638">
        <f t="shared" si="37"/>
        <v>43209</v>
      </c>
      <c r="U75" s="322">
        <v>448</v>
      </c>
      <c r="V75" s="80">
        <f t="shared" si="25"/>
        <v>1440.3</v>
      </c>
      <c r="W75" s="79"/>
      <c r="X75" s="322"/>
      <c r="Y75" s="79"/>
      <c r="Z75" s="322"/>
      <c r="AA75" s="79"/>
      <c r="AB75" s="322"/>
      <c r="AC75" s="79"/>
      <c r="AD75" s="322"/>
      <c r="AE75" s="323">
        <f t="shared" si="26"/>
        <v>0</v>
      </c>
      <c r="AF75" s="638">
        <f t="shared" si="38"/>
        <v>0</v>
      </c>
      <c r="AG75" s="322"/>
      <c r="AH75" s="90">
        <f t="shared" si="27"/>
        <v>0</v>
      </c>
      <c r="AI75" s="80">
        <f t="shared" si="28"/>
        <v>0</v>
      </c>
      <c r="AJ75" s="638">
        <f t="shared" si="39"/>
        <v>0</v>
      </c>
      <c r="AK75" s="322"/>
      <c r="AL75" s="80">
        <f t="shared" si="29"/>
        <v>0</v>
      </c>
      <c r="AM75" s="79"/>
      <c r="AN75" s="322"/>
      <c r="AO75" s="79"/>
      <c r="AP75" s="322"/>
      <c r="AQ75" s="79"/>
      <c r="AR75" s="322"/>
      <c r="AS75" s="79"/>
      <c r="AT75" s="322"/>
      <c r="AU75" s="325">
        <f t="shared" si="30"/>
        <v>0</v>
      </c>
      <c r="AV75" s="90">
        <f t="shared" si="31"/>
        <v>0</v>
      </c>
      <c r="AW75" s="324">
        <f t="shared" si="32"/>
        <v>0</v>
      </c>
      <c r="AX75" s="80">
        <f t="shared" si="33"/>
        <v>0</v>
      </c>
      <c r="AY75" s="326">
        <f t="shared" si="34"/>
        <v>1333.1</v>
      </c>
      <c r="AZ75" s="80">
        <f t="shared" si="35"/>
        <v>1440.3</v>
      </c>
    </row>
    <row r="76" spans="1:52" s="96" customFormat="1">
      <c r="A76" s="353" t="s">
        <v>66</v>
      </c>
      <c r="B76" s="354" t="s">
        <v>70</v>
      </c>
      <c r="C76" s="355">
        <v>130943</v>
      </c>
      <c r="D76" s="356">
        <v>1</v>
      </c>
      <c r="E76" s="162" t="s">
        <v>442</v>
      </c>
      <c r="F76" s="163" t="s">
        <v>442</v>
      </c>
      <c r="G76" s="79">
        <v>36982</v>
      </c>
      <c r="H76" s="322">
        <v>36982</v>
      </c>
      <c r="I76" s="79">
        <v>216280</v>
      </c>
      <c r="J76" s="322">
        <v>216280</v>
      </c>
      <c r="K76" s="79">
        <v>16626</v>
      </c>
      <c r="L76" s="322">
        <v>18149</v>
      </c>
      <c r="M76" s="79">
        <v>232028</v>
      </c>
      <c r="N76" s="322">
        <v>233697</v>
      </c>
      <c r="O76" s="323">
        <f t="shared" si="22"/>
        <v>501916</v>
      </c>
      <c r="P76" s="638">
        <f t="shared" si="36"/>
        <v>0</v>
      </c>
      <c r="Q76" s="639" t="s">
        <v>949</v>
      </c>
      <c r="R76" s="90">
        <f t="shared" si="23"/>
        <v>16730.533333333333</v>
      </c>
      <c r="S76" s="324">
        <f t="shared" si="24"/>
        <v>505108</v>
      </c>
      <c r="T76" s="638">
        <f t="shared" si="37"/>
        <v>0</v>
      </c>
      <c r="U76" s="639" t="s">
        <v>949</v>
      </c>
      <c r="V76" s="80">
        <f t="shared" si="25"/>
        <v>16836.933333333334</v>
      </c>
      <c r="W76" s="79" t="s">
        <v>421</v>
      </c>
      <c r="X76" s="322"/>
      <c r="Y76" s="79" t="s">
        <v>421</v>
      </c>
      <c r="Z76" s="322"/>
      <c r="AA76" s="79" t="s">
        <v>421</v>
      </c>
      <c r="AB76" s="322"/>
      <c r="AC76" s="79" t="s">
        <v>421</v>
      </c>
      <c r="AD76" s="322"/>
      <c r="AE76" s="323">
        <f t="shared" si="26"/>
        <v>0</v>
      </c>
      <c r="AF76" s="638">
        <f t="shared" si="38"/>
        <v>0</v>
      </c>
      <c r="AG76" s="322"/>
      <c r="AH76" s="90">
        <f t="shared" si="27"/>
        <v>0</v>
      </c>
      <c r="AI76" s="80">
        <f t="shared" si="28"/>
        <v>0</v>
      </c>
      <c r="AJ76" s="638">
        <f t="shared" si="39"/>
        <v>0</v>
      </c>
      <c r="AK76" s="322"/>
      <c r="AL76" s="80">
        <f t="shared" si="29"/>
        <v>0</v>
      </c>
      <c r="AM76" s="79">
        <v>1772</v>
      </c>
      <c r="AN76" s="322">
        <v>1772</v>
      </c>
      <c r="AO76" s="79">
        <v>19503</v>
      </c>
      <c r="AP76" s="322">
        <v>19503</v>
      </c>
      <c r="AQ76" s="79">
        <v>5652</v>
      </c>
      <c r="AR76" s="322">
        <v>5820</v>
      </c>
      <c r="AS76" s="79">
        <v>22067</v>
      </c>
      <c r="AT76" s="322">
        <v>22540</v>
      </c>
      <c r="AU76" s="325">
        <f t="shared" si="30"/>
        <v>48994</v>
      </c>
      <c r="AV76" s="90">
        <f t="shared" si="31"/>
        <v>2041.4166666666667</v>
      </c>
      <c r="AW76" s="324">
        <f t="shared" si="32"/>
        <v>49635</v>
      </c>
      <c r="AX76" s="80">
        <f t="shared" si="33"/>
        <v>2068.125</v>
      </c>
      <c r="AY76" s="326">
        <f t="shared" si="34"/>
        <v>18771.95</v>
      </c>
      <c r="AZ76" s="80">
        <f t="shared" si="35"/>
        <v>18905.058333333334</v>
      </c>
    </row>
    <row r="77" spans="1:52" s="96" customFormat="1">
      <c r="A77" s="353" t="s">
        <v>66</v>
      </c>
      <c r="B77" s="354" t="s">
        <v>71</v>
      </c>
      <c r="C77" s="355">
        <v>130934</v>
      </c>
      <c r="D77" s="356">
        <v>4</v>
      </c>
      <c r="E77" s="162" t="s">
        <v>442</v>
      </c>
      <c r="F77" s="163" t="s">
        <v>442</v>
      </c>
      <c r="G77" s="79"/>
      <c r="H77" s="322"/>
      <c r="I77" s="79">
        <v>36325</v>
      </c>
      <c r="J77" s="322">
        <v>44907</v>
      </c>
      <c r="K77" s="79">
        <v>5411</v>
      </c>
      <c r="L77" s="322">
        <v>6292</v>
      </c>
      <c r="M77" s="79">
        <v>39403</v>
      </c>
      <c r="N77" s="322">
        <v>45384</v>
      </c>
      <c r="O77" s="323">
        <f t="shared" si="22"/>
        <v>81139</v>
      </c>
      <c r="P77" s="638">
        <f t="shared" si="36"/>
        <v>0</v>
      </c>
      <c r="Q77" s="639" t="s">
        <v>949</v>
      </c>
      <c r="R77" s="90">
        <f t="shared" si="23"/>
        <v>2704.6333333333332</v>
      </c>
      <c r="S77" s="324">
        <f t="shared" si="24"/>
        <v>96583</v>
      </c>
      <c r="T77" s="638">
        <f t="shared" si="37"/>
        <v>0</v>
      </c>
      <c r="U77" s="639" t="s">
        <v>949</v>
      </c>
      <c r="V77" s="80">
        <f t="shared" si="25"/>
        <v>3219.4333333333334</v>
      </c>
      <c r="W77" s="79"/>
      <c r="X77" s="322"/>
      <c r="Y77" s="79"/>
      <c r="Z77" s="322"/>
      <c r="AA77" s="79"/>
      <c r="AB77" s="322"/>
      <c r="AC77" s="79"/>
      <c r="AD77" s="322"/>
      <c r="AE77" s="323">
        <f t="shared" si="26"/>
        <v>0</v>
      </c>
      <c r="AF77" s="638">
        <f t="shared" si="38"/>
        <v>0</v>
      </c>
      <c r="AG77" s="322"/>
      <c r="AH77" s="90">
        <f t="shared" si="27"/>
        <v>0</v>
      </c>
      <c r="AI77" s="80">
        <f t="shared" si="28"/>
        <v>0</v>
      </c>
      <c r="AJ77" s="638">
        <f t="shared" si="39"/>
        <v>0</v>
      </c>
      <c r="AK77" s="322"/>
      <c r="AL77" s="80">
        <f t="shared" si="29"/>
        <v>0</v>
      </c>
      <c r="AM77" s="79">
        <v>0</v>
      </c>
      <c r="AN77" s="322"/>
      <c r="AO77" s="79">
        <v>2868</v>
      </c>
      <c r="AP77" s="322">
        <v>2880</v>
      </c>
      <c r="AQ77" s="79">
        <v>1518</v>
      </c>
      <c r="AR77" s="322">
        <v>1469</v>
      </c>
      <c r="AS77" s="79">
        <v>2810</v>
      </c>
      <c r="AT77" s="322">
        <v>2726</v>
      </c>
      <c r="AU77" s="325">
        <f t="shared" si="30"/>
        <v>7196</v>
      </c>
      <c r="AV77" s="90">
        <f t="shared" si="31"/>
        <v>299.83333333333331</v>
      </c>
      <c r="AW77" s="324">
        <f t="shared" si="32"/>
        <v>7075</v>
      </c>
      <c r="AX77" s="80">
        <f t="shared" si="33"/>
        <v>294.79166666666669</v>
      </c>
      <c r="AY77" s="326">
        <f t="shared" si="34"/>
        <v>3004.4666666666667</v>
      </c>
      <c r="AZ77" s="80">
        <f t="shared" si="35"/>
        <v>3514.2249999999999</v>
      </c>
    </row>
    <row r="78" spans="1:52" s="96" customFormat="1">
      <c r="A78" s="353" t="s">
        <v>66</v>
      </c>
      <c r="B78" s="354" t="s">
        <v>72</v>
      </c>
      <c r="C78" s="355">
        <v>130891</v>
      </c>
      <c r="D78" s="356">
        <v>9</v>
      </c>
      <c r="E78" s="162" t="s">
        <v>442</v>
      </c>
      <c r="F78" s="163" t="s">
        <v>442</v>
      </c>
      <c r="G78" s="79"/>
      <c r="H78" s="322"/>
      <c r="I78" s="79">
        <v>34846</v>
      </c>
      <c r="J78" s="322">
        <v>36617</v>
      </c>
      <c r="K78" s="79">
        <v>6731</v>
      </c>
      <c r="L78" s="322">
        <v>5094</v>
      </c>
      <c r="M78" s="79">
        <v>41393</v>
      </c>
      <c r="N78" s="322">
        <v>42099</v>
      </c>
      <c r="O78" s="323">
        <f t="shared" si="22"/>
        <v>82970</v>
      </c>
      <c r="P78" s="638">
        <f t="shared" si="36"/>
        <v>0</v>
      </c>
      <c r="Q78" s="639" t="s">
        <v>949</v>
      </c>
      <c r="R78" s="90">
        <f t="shared" si="23"/>
        <v>2765.6666666666665</v>
      </c>
      <c r="S78" s="324">
        <f t="shared" si="24"/>
        <v>83810</v>
      </c>
      <c r="T78" s="638">
        <f t="shared" si="37"/>
        <v>0</v>
      </c>
      <c r="U78" s="639" t="s">
        <v>949</v>
      </c>
      <c r="V78" s="80">
        <f t="shared" si="25"/>
        <v>2793.6666666666665</v>
      </c>
      <c r="W78" s="79"/>
      <c r="X78" s="322"/>
      <c r="Y78" s="79"/>
      <c r="Z78" s="322"/>
      <c r="AA78" s="79"/>
      <c r="AB78" s="322"/>
      <c r="AC78" s="79"/>
      <c r="AD78" s="322"/>
      <c r="AE78" s="323">
        <f t="shared" si="26"/>
        <v>0</v>
      </c>
      <c r="AF78" s="638">
        <f t="shared" si="38"/>
        <v>0</v>
      </c>
      <c r="AG78" s="322"/>
      <c r="AH78" s="90">
        <f t="shared" si="27"/>
        <v>0</v>
      </c>
      <c r="AI78" s="80">
        <f t="shared" si="28"/>
        <v>0</v>
      </c>
      <c r="AJ78" s="638">
        <f t="shared" si="39"/>
        <v>0</v>
      </c>
      <c r="AK78" s="322"/>
      <c r="AL78" s="80">
        <f t="shared" si="29"/>
        <v>0</v>
      </c>
      <c r="AM78" s="79"/>
      <c r="AN78" s="322"/>
      <c r="AO78" s="79"/>
      <c r="AP78" s="322"/>
      <c r="AQ78" s="79"/>
      <c r="AR78" s="322"/>
      <c r="AS78" s="79"/>
      <c r="AT78" s="322"/>
      <c r="AU78" s="325">
        <f t="shared" si="30"/>
        <v>0</v>
      </c>
      <c r="AV78" s="90">
        <f t="shared" si="31"/>
        <v>0</v>
      </c>
      <c r="AW78" s="324">
        <f t="shared" si="32"/>
        <v>0</v>
      </c>
      <c r="AX78" s="80">
        <f t="shared" si="33"/>
        <v>0</v>
      </c>
      <c r="AY78" s="326">
        <f t="shared" si="34"/>
        <v>2765.6666666666665</v>
      </c>
      <c r="AZ78" s="80">
        <f t="shared" si="35"/>
        <v>2793.6666666666665</v>
      </c>
    </row>
    <row r="79" spans="1:52" s="96" customFormat="1">
      <c r="A79" s="353" t="s">
        <v>66</v>
      </c>
      <c r="B79" s="354" t="s">
        <v>73</v>
      </c>
      <c r="C79" s="355">
        <v>130916</v>
      </c>
      <c r="D79" s="357">
        <v>9</v>
      </c>
      <c r="E79" s="162" t="s">
        <v>442</v>
      </c>
      <c r="F79" s="163" t="s">
        <v>442</v>
      </c>
      <c r="G79" s="79"/>
      <c r="H79" s="322"/>
      <c r="I79" s="79">
        <v>61749</v>
      </c>
      <c r="J79" s="322">
        <v>60261</v>
      </c>
      <c r="K79" s="79">
        <v>16376</v>
      </c>
      <c r="L79" s="322">
        <v>13215</v>
      </c>
      <c r="M79" s="79">
        <v>70448</v>
      </c>
      <c r="N79" s="322">
        <v>67081</v>
      </c>
      <c r="O79" s="323">
        <f t="shared" si="22"/>
        <v>148573</v>
      </c>
      <c r="P79" s="638">
        <f t="shared" si="36"/>
        <v>0</v>
      </c>
      <c r="Q79" s="639" t="s">
        <v>949</v>
      </c>
      <c r="R79" s="90">
        <f t="shared" si="23"/>
        <v>4952.4333333333334</v>
      </c>
      <c r="S79" s="324">
        <f t="shared" si="24"/>
        <v>140557</v>
      </c>
      <c r="T79" s="638">
        <f t="shared" si="37"/>
        <v>0</v>
      </c>
      <c r="U79" s="639" t="s">
        <v>949</v>
      </c>
      <c r="V79" s="80">
        <f t="shared" si="25"/>
        <v>4685.2333333333336</v>
      </c>
      <c r="W79" s="79"/>
      <c r="X79" s="322"/>
      <c r="Y79" s="79"/>
      <c r="Z79" s="322"/>
      <c r="AA79" s="79"/>
      <c r="AB79" s="322"/>
      <c r="AC79" s="79"/>
      <c r="AD79" s="322"/>
      <c r="AE79" s="323">
        <f t="shared" si="26"/>
        <v>0</v>
      </c>
      <c r="AF79" s="638">
        <f t="shared" si="38"/>
        <v>0</v>
      </c>
      <c r="AG79" s="322"/>
      <c r="AH79" s="90">
        <f t="shared" si="27"/>
        <v>0</v>
      </c>
      <c r="AI79" s="80">
        <f t="shared" si="28"/>
        <v>0</v>
      </c>
      <c r="AJ79" s="638">
        <f t="shared" si="39"/>
        <v>0</v>
      </c>
      <c r="AK79" s="322"/>
      <c r="AL79" s="80">
        <f t="shared" si="29"/>
        <v>0</v>
      </c>
      <c r="AM79" s="79"/>
      <c r="AN79" s="322"/>
      <c r="AO79" s="79"/>
      <c r="AP79" s="322"/>
      <c r="AQ79" s="79"/>
      <c r="AR79" s="322"/>
      <c r="AS79" s="79"/>
      <c r="AT79" s="322"/>
      <c r="AU79" s="325">
        <f t="shared" si="30"/>
        <v>0</v>
      </c>
      <c r="AV79" s="90">
        <f t="shared" si="31"/>
        <v>0</v>
      </c>
      <c r="AW79" s="324">
        <f t="shared" si="32"/>
        <v>0</v>
      </c>
      <c r="AX79" s="80">
        <f t="shared" si="33"/>
        <v>0</v>
      </c>
      <c r="AY79" s="326">
        <f t="shared" si="34"/>
        <v>4952.4333333333334</v>
      </c>
      <c r="AZ79" s="80">
        <f t="shared" si="35"/>
        <v>4685.2333333333336</v>
      </c>
    </row>
    <row r="80" spans="1:52" s="96" customFormat="1">
      <c r="A80" s="353" t="s">
        <v>66</v>
      </c>
      <c r="B80" s="354" t="s">
        <v>74</v>
      </c>
      <c r="C80" s="355">
        <v>130907</v>
      </c>
      <c r="D80" s="356">
        <v>10</v>
      </c>
      <c r="E80" s="162" t="s">
        <v>442</v>
      </c>
      <c r="F80" s="163" t="s">
        <v>442</v>
      </c>
      <c r="G80" s="79"/>
      <c r="H80" s="322"/>
      <c r="I80" s="79">
        <v>25577</v>
      </c>
      <c r="J80" s="322">
        <v>27699</v>
      </c>
      <c r="K80" s="79">
        <v>6990</v>
      </c>
      <c r="L80" s="322">
        <v>5997</v>
      </c>
      <c r="M80" s="79">
        <v>30541</v>
      </c>
      <c r="N80" s="322">
        <v>31214</v>
      </c>
      <c r="O80" s="323">
        <f t="shared" si="22"/>
        <v>63108</v>
      </c>
      <c r="P80" s="638">
        <f t="shared" si="36"/>
        <v>0</v>
      </c>
      <c r="Q80" s="639" t="s">
        <v>949</v>
      </c>
      <c r="R80" s="90">
        <f t="shared" si="23"/>
        <v>2103.6</v>
      </c>
      <c r="S80" s="324">
        <f t="shared" si="24"/>
        <v>64910</v>
      </c>
      <c r="T80" s="638">
        <f t="shared" si="37"/>
        <v>0</v>
      </c>
      <c r="U80" s="639" t="s">
        <v>949</v>
      </c>
      <c r="V80" s="80">
        <f t="shared" si="25"/>
        <v>2163.6666666666665</v>
      </c>
      <c r="W80" s="79"/>
      <c r="X80" s="322"/>
      <c r="Y80" s="79"/>
      <c r="Z80" s="322"/>
      <c r="AA80" s="79"/>
      <c r="AB80" s="322"/>
      <c r="AC80" s="79"/>
      <c r="AD80" s="322"/>
      <c r="AE80" s="323">
        <f t="shared" si="26"/>
        <v>0</v>
      </c>
      <c r="AF80" s="638">
        <f t="shared" si="38"/>
        <v>0</v>
      </c>
      <c r="AG80" s="322"/>
      <c r="AH80" s="90">
        <f t="shared" si="27"/>
        <v>0</v>
      </c>
      <c r="AI80" s="80">
        <f t="shared" si="28"/>
        <v>0</v>
      </c>
      <c r="AJ80" s="638">
        <f t="shared" si="39"/>
        <v>0</v>
      </c>
      <c r="AK80" s="322"/>
      <c r="AL80" s="80">
        <f t="shared" si="29"/>
        <v>0</v>
      </c>
      <c r="AM80" s="79"/>
      <c r="AN80" s="322"/>
      <c r="AO80" s="79"/>
      <c r="AP80" s="322"/>
      <c r="AQ80" s="79"/>
      <c r="AR80" s="322"/>
      <c r="AS80" s="79"/>
      <c r="AT80" s="322"/>
      <c r="AU80" s="325">
        <f t="shared" si="30"/>
        <v>0</v>
      </c>
      <c r="AV80" s="90">
        <f t="shared" si="31"/>
        <v>0</v>
      </c>
      <c r="AW80" s="324">
        <f t="shared" si="32"/>
        <v>0</v>
      </c>
      <c r="AX80" s="80">
        <f t="shared" si="33"/>
        <v>0</v>
      </c>
      <c r="AY80" s="326">
        <f t="shared" si="34"/>
        <v>2103.6</v>
      </c>
      <c r="AZ80" s="80">
        <f t="shared" si="35"/>
        <v>2163.6666666666665</v>
      </c>
    </row>
    <row r="81" spans="1:52">
      <c r="A81" s="170" t="s">
        <v>712</v>
      </c>
      <c r="B81" s="171" t="s">
        <v>713</v>
      </c>
      <c r="C81" s="172">
        <v>134097</v>
      </c>
      <c r="D81" s="165">
        <v>1</v>
      </c>
      <c r="E81" s="162" t="s">
        <v>442</v>
      </c>
      <c r="F81" s="163" t="s">
        <v>442</v>
      </c>
      <c r="G81" s="79"/>
      <c r="H81" s="322"/>
      <c r="I81" s="79">
        <v>380258</v>
      </c>
      <c r="J81" s="414">
        <v>382086</v>
      </c>
      <c r="K81" s="79">
        <v>121494</v>
      </c>
      <c r="L81" s="414">
        <v>115000</v>
      </c>
      <c r="M81" s="79">
        <v>401827</v>
      </c>
      <c r="N81" s="414">
        <v>380545</v>
      </c>
      <c r="O81" s="323">
        <f t="shared" si="22"/>
        <v>903579</v>
      </c>
      <c r="P81" s="638">
        <f t="shared" si="36"/>
        <v>903579</v>
      </c>
      <c r="Q81" s="535">
        <v>303</v>
      </c>
      <c r="R81" s="90">
        <f t="shared" si="23"/>
        <v>30119.3</v>
      </c>
      <c r="S81" s="324">
        <f t="shared" si="24"/>
        <v>877631</v>
      </c>
      <c r="T81" s="638">
        <f t="shared" si="37"/>
        <v>877631</v>
      </c>
      <c r="U81" s="535">
        <v>603</v>
      </c>
      <c r="V81" s="80">
        <f t="shared" si="25"/>
        <v>29254.366666666665</v>
      </c>
      <c r="W81" s="79"/>
      <c r="X81" s="322"/>
      <c r="Y81" s="79"/>
      <c r="Z81" s="322"/>
      <c r="AA81" s="79"/>
      <c r="AB81" s="322"/>
      <c r="AC81" s="79"/>
      <c r="AD81" s="322"/>
      <c r="AE81" s="323">
        <f t="shared" si="26"/>
        <v>0</v>
      </c>
      <c r="AF81" s="638">
        <f t="shared" si="38"/>
        <v>0</v>
      </c>
      <c r="AG81" s="322"/>
      <c r="AH81" s="90">
        <f t="shared" si="27"/>
        <v>0</v>
      </c>
      <c r="AI81" s="80">
        <f t="shared" si="28"/>
        <v>0</v>
      </c>
      <c r="AJ81" s="638">
        <f t="shared" si="39"/>
        <v>0</v>
      </c>
      <c r="AK81" s="322"/>
      <c r="AL81" s="80">
        <f t="shared" si="29"/>
        <v>0</v>
      </c>
      <c r="AM81" s="79"/>
      <c r="AN81" s="322"/>
      <c r="AO81" s="79">
        <v>66372</v>
      </c>
      <c r="AP81" s="414">
        <v>67458</v>
      </c>
      <c r="AQ81" s="79">
        <v>36292</v>
      </c>
      <c r="AR81" s="414">
        <v>36383</v>
      </c>
      <c r="AS81" s="79">
        <v>72967</v>
      </c>
      <c r="AT81" s="414">
        <v>71065</v>
      </c>
      <c r="AU81" s="325">
        <f t="shared" si="30"/>
        <v>175631</v>
      </c>
      <c r="AV81" s="90">
        <f t="shared" si="31"/>
        <v>7317.958333333333</v>
      </c>
      <c r="AW81" s="324">
        <f t="shared" si="32"/>
        <v>174906</v>
      </c>
      <c r="AX81" s="80">
        <f t="shared" si="33"/>
        <v>7287.75</v>
      </c>
      <c r="AY81" s="326">
        <f t="shared" si="34"/>
        <v>37437.258333333331</v>
      </c>
      <c r="AZ81" s="80">
        <f t="shared" si="35"/>
        <v>36542.116666666669</v>
      </c>
    </row>
    <row r="82" spans="1:52">
      <c r="A82" s="170" t="s">
        <v>712</v>
      </c>
      <c r="B82" s="173" t="s">
        <v>718</v>
      </c>
      <c r="C82" s="220">
        <v>132903</v>
      </c>
      <c r="D82" s="167">
        <v>1</v>
      </c>
      <c r="E82" s="162" t="s">
        <v>442</v>
      </c>
      <c r="F82" s="163" t="s">
        <v>442</v>
      </c>
      <c r="G82" s="79"/>
      <c r="H82" s="322"/>
      <c r="I82" s="79">
        <v>445460</v>
      </c>
      <c r="J82" s="414">
        <v>469630</v>
      </c>
      <c r="K82" s="79">
        <v>159643</v>
      </c>
      <c r="L82" s="414">
        <v>172516</v>
      </c>
      <c r="M82" s="79">
        <v>487786</v>
      </c>
      <c r="N82" s="414">
        <v>505640</v>
      </c>
      <c r="O82" s="323">
        <f t="shared" si="22"/>
        <v>1092889</v>
      </c>
      <c r="P82" s="638">
        <f t="shared" si="36"/>
        <v>1092889</v>
      </c>
      <c r="Q82" s="535">
        <v>985</v>
      </c>
      <c r="R82" s="90">
        <f t="shared" si="23"/>
        <v>36429.633333333331</v>
      </c>
      <c r="S82" s="324">
        <f t="shared" si="24"/>
        <v>1147786</v>
      </c>
      <c r="T82" s="638">
        <f t="shared" si="37"/>
        <v>1147786</v>
      </c>
      <c r="U82" s="535">
        <v>949</v>
      </c>
      <c r="V82" s="80">
        <f t="shared" si="25"/>
        <v>38259.533333333333</v>
      </c>
      <c r="W82" s="79"/>
      <c r="X82" s="322"/>
      <c r="Y82" s="79"/>
      <c r="Z82" s="322"/>
      <c r="AA82" s="79"/>
      <c r="AB82" s="322"/>
      <c r="AC82" s="79"/>
      <c r="AD82" s="322"/>
      <c r="AE82" s="323">
        <f t="shared" si="26"/>
        <v>0</v>
      </c>
      <c r="AF82" s="638">
        <f t="shared" si="38"/>
        <v>0</v>
      </c>
      <c r="AG82" s="322"/>
      <c r="AH82" s="90">
        <f t="shared" si="27"/>
        <v>0</v>
      </c>
      <c r="AI82" s="80">
        <f t="shared" si="28"/>
        <v>0</v>
      </c>
      <c r="AJ82" s="638">
        <f t="shared" si="39"/>
        <v>0</v>
      </c>
      <c r="AK82" s="322"/>
      <c r="AL82" s="80">
        <f t="shared" si="29"/>
        <v>0</v>
      </c>
      <c r="AM82" s="79"/>
      <c r="AN82" s="322"/>
      <c r="AO82" s="79">
        <v>42757.5</v>
      </c>
      <c r="AP82" s="414">
        <v>42224.5</v>
      </c>
      <c r="AQ82" s="79">
        <v>23904</v>
      </c>
      <c r="AR82" s="414">
        <v>24261.5</v>
      </c>
      <c r="AS82" s="79">
        <v>45431.5</v>
      </c>
      <c r="AT82" s="414">
        <v>48411</v>
      </c>
      <c r="AU82" s="325">
        <f t="shared" si="30"/>
        <v>112093</v>
      </c>
      <c r="AV82" s="90">
        <f t="shared" si="31"/>
        <v>4670.541666666667</v>
      </c>
      <c r="AW82" s="324">
        <f t="shared" si="32"/>
        <v>114897</v>
      </c>
      <c r="AX82" s="80">
        <f t="shared" si="33"/>
        <v>4787.375</v>
      </c>
      <c r="AY82" s="326">
        <f t="shared" si="34"/>
        <v>41100.174999999996</v>
      </c>
      <c r="AZ82" s="80">
        <f t="shared" si="35"/>
        <v>43046.908333333333</v>
      </c>
    </row>
    <row r="83" spans="1:52">
      <c r="A83" s="170" t="s">
        <v>712</v>
      </c>
      <c r="B83" s="171" t="s">
        <v>714</v>
      </c>
      <c r="C83" s="172">
        <v>134130</v>
      </c>
      <c r="D83" s="168">
        <v>1</v>
      </c>
      <c r="E83" s="162" t="s">
        <v>442</v>
      </c>
      <c r="F83" s="163" t="s">
        <v>442</v>
      </c>
      <c r="G83" s="79"/>
      <c r="H83" s="322"/>
      <c r="I83" s="79">
        <v>440385</v>
      </c>
      <c r="J83" s="414">
        <v>446470</v>
      </c>
      <c r="K83" s="79">
        <v>124596</v>
      </c>
      <c r="L83" s="414">
        <v>121982</v>
      </c>
      <c r="M83" s="79">
        <v>465394</v>
      </c>
      <c r="N83" s="414">
        <v>459100</v>
      </c>
      <c r="O83" s="323">
        <f t="shared" si="22"/>
        <v>1030375</v>
      </c>
      <c r="P83" s="638">
        <f t="shared" si="36"/>
        <v>1030375</v>
      </c>
      <c r="Q83" s="535">
        <v>0</v>
      </c>
      <c r="R83" s="90">
        <f t="shared" si="23"/>
        <v>34345.833333333336</v>
      </c>
      <c r="S83" s="324">
        <f t="shared" si="24"/>
        <v>1027552</v>
      </c>
      <c r="T83" s="638">
        <f t="shared" si="37"/>
        <v>1027552</v>
      </c>
      <c r="U83" s="535">
        <v>0</v>
      </c>
      <c r="V83" s="80">
        <f t="shared" si="25"/>
        <v>34251.73333333333</v>
      </c>
      <c r="W83" s="79"/>
      <c r="X83" s="322"/>
      <c r="Y83" s="79"/>
      <c r="Z83" s="322"/>
      <c r="AA83" s="79"/>
      <c r="AB83" s="322"/>
      <c r="AC83" s="79"/>
      <c r="AD83" s="322"/>
      <c r="AE83" s="323">
        <f t="shared" si="26"/>
        <v>0</v>
      </c>
      <c r="AF83" s="638">
        <f t="shared" si="38"/>
        <v>0</v>
      </c>
      <c r="AG83" s="322"/>
      <c r="AH83" s="90">
        <f t="shared" si="27"/>
        <v>0</v>
      </c>
      <c r="AI83" s="80">
        <f t="shared" si="28"/>
        <v>0</v>
      </c>
      <c r="AJ83" s="638">
        <f t="shared" si="39"/>
        <v>0</v>
      </c>
      <c r="AK83" s="322"/>
      <c r="AL83" s="80">
        <f t="shared" si="29"/>
        <v>0</v>
      </c>
      <c r="AM83" s="79"/>
      <c r="AN83" s="322"/>
      <c r="AO83" s="79">
        <v>120571</v>
      </c>
      <c r="AP83" s="414">
        <v>123264</v>
      </c>
      <c r="AQ83" s="79">
        <v>46026</v>
      </c>
      <c r="AR83" s="414">
        <v>47853</v>
      </c>
      <c r="AS83" s="79">
        <v>133166</v>
      </c>
      <c r="AT83" s="414">
        <v>134682</v>
      </c>
      <c r="AU83" s="325">
        <f t="shared" si="30"/>
        <v>299763</v>
      </c>
      <c r="AV83" s="90">
        <f t="shared" si="31"/>
        <v>12490.125</v>
      </c>
      <c r="AW83" s="324">
        <f t="shared" si="32"/>
        <v>305799</v>
      </c>
      <c r="AX83" s="80">
        <f t="shared" si="33"/>
        <v>12741.625</v>
      </c>
      <c r="AY83" s="326">
        <f t="shared" si="34"/>
        <v>46835.958333333336</v>
      </c>
      <c r="AZ83" s="80">
        <f t="shared" si="35"/>
        <v>46993.35833333333</v>
      </c>
    </row>
    <row r="84" spans="1:52">
      <c r="A84" s="170" t="s">
        <v>712</v>
      </c>
      <c r="B84" s="171" t="s">
        <v>715</v>
      </c>
      <c r="C84" s="172">
        <v>137351</v>
      </c>
      <c r="D84" s="165">
        <v>1</v>
      </c>
      <c r="E84" s="162" t="s">
        <v>442</v>
      </c>
      <c r="F84" s="163" t="s">
        <v>442</v>
      </c>
      <c r="G84" s="79"/>
      <c r="H84" s="322"/>
      <c r="I84" s="79">
        <v>359332</v>
      </c>
      <c r="J84" s="414">
        <v>385641</v>
      </c>
      <c r="K84" s="79">
        <v>127065</v>
      </c>
      <c r="L84" s="414">
        <v>135021</v>
      </c>
      <c r="M84" s="79">
        <v>389617</v>
      </c>
      <c r="N84" s="414">
        <v>415947</v>
      </c>
      <c r="O84" s="323">
        <f t="shared" si="22"/>
        <v>876014</v>
      </c>
      <c r="P84" s="638">
        <f t="shared" si="36"/>
        <v>876014</v>
      </c>
      <c r="Q84" s="535">
        <v>3740</v>
      </c>
      <c r="R84" s="90">
        <f t="shared" si="23"/>
        <v>29200.466666666667</v>
      </c>
      <c r="S84" s="324">
        <f t="shared" si="24"/>
        <v>936609</v>
      </c>
      <c r="T84" s="638">
        <f t="shared" si="37"/>
        <v>936609</v>
      </c>
      <c r="U84" s="535">
        <v>4107</v>
      </c>
      <c r="V84" s="80">
        <f t="shared" si="25"/>
        <v>31220.3</v>
      </c>
      <c r="W84" s="79"/>
      <c r="X84" s="322"/>
      <c r="Y84" s="79"/>
      <c r="Z84" s="322"/>
      <c r="AA84" s="79"/>
      <c r="AB84" s="322"/>
      <c r="AC84" s="79"/>
      <c r="AD84" s="322"/>
      <c r="AE84" s="323">
        <f t="shared" si="26"/>
        <v>0</v>
      </c>
      <c r="AF84" s="638">
        <f t="shared" si="38"/>
        <v>0</v>
      </c>
      <c r="AG84" s="322"/>
      <c r="AH84" s="90">
        <f t="shared" si="27"/>
        <v>0</v>
      </c>
      <c r="AI84" s="80">
        <f t="shared" si="28"/>
        <v>0</v>
      </c>
      <c r="AJ84" s="638">
        <f t="shared" si="39"/>
        <v>0</v>
      </c>
      <c r="AK84" s="322"/>
      <c r="AL84" s="80">
        <f t="shared" si="29"/>
        <v>0</v>
      </c>
      <c r="AM84" s="79"/>
      <c r="AN84" s="322"/>
      <c r="AO84" s="79">
        <v>52603</v>
      </c>
      <c r="AP84" s="414">
        <v>66516</v>
      </c>
      <c r="AQ84" s="79">
        <v>28737</v>
      </c>
      <c r="AR84" s="414">
        <v>35392</v>
      </c>
      <c r="AS84" s="79">
        <v>55697</v>
      </c>
      <c r="AT84" s="414">
        <v>71178</v>
      </c>
      <c r="AU84" s="325">
        <f t="shared" si="30"/>
        <v>137037</v>
      </c>
      <c r="AV84" s="90">
        <f t="shared" si="31"/>
        <v>5709.875</v>
      </c>
      <c r="AW84" s="324">
        <f t="shared" si="32"/>
        <v>173086</v>
      </c>
      <c r="AX84" s="80">
        <f t="shared" si="33"/>
        <v>7211.916666666667</v>
      </c>
      <c r="AY84" s="326">
        <f t="shared" si="34"/>
        <v>34910.341666666667</v>
      </c>
      <c r="AZ84" s="80">
        <f t="shared" si="35"/>
        <v>38432.216666666667</v>
      </c>
    </row>
    <row r="85" spans="1:52">
      <c r="A85" s="170" t="s">
        <v>712</v>
      </c>
      <c r="B85" s="171" t="s">
        <v>716</v>
      </c>
      <c r="C85" s="172">
        <v>133669</v>
      </c>
      <c r="D85" s="165">
        <v>2</v>
      </c>
      <c r="E85" s="162" t="s">
        <v>442</v>
      </c>
      <c r="F85" s="163" t="s">
        <v>442</v>
      </c>
      <c r="G85" s="79"/>
      <c r="H85" s="322"/>
      <c r="I85" s="79">
        <v>206069</v>
      </c>
      <c r="J85" s="414">
        <v>207296</v>
      </c>
      <c r="K85" s="79">
        <v>82384</v>
      </c>
      <c r="L85" s="414">
        <v>75986</v>
      </c>
      <c r="M85" s="79">
        <v>228628</v>
      </c>
      <c r="N85" s="414">
        <v>228063</v>
      </c>
      <c r="O85" s="323">
        <f t="shared" si="22"/>
        <v>517081</v>
      </c>
      <c r="P85" s="638">
        <f t="shared" si="36"/>
        <v>517081</v>
      </c>
      <c r="Q85" s="535">
        <v>10579</v>
      </c>
      <c r="R85" s="90">
        <f t="shared" si="23"/>
        <v>17236.033333333333</v>
      </c>
      <c r="S85" s="324">
        <f t="shared" si="24"/>
        <v>511345</v>
      </c>
      <c r="T85" s="638">
        <f t="shared" si="37"/>
        <v>511345</v>
      </c>
      <c r="U85" s="535">
        <v>8829</v>
      </c>
      <c r="V85" s="80">
        <f t="shared" si="25"/>
        <v>17044.833333333332</v>
      </c>
      <c r="W85" s="79"/>
      <c r="X85" s="322"/>
      <c r="Y85" s="79"/>
      <c r="Z85" s="322"/>
      <c r="AA85" s="79"/>
      <c r="AB85" s="322"/>
      <c r="AC85" s="79"/>
      <c r="AD85" s="322"/>
      <c r="AE85" s="323">
        <f t="shared" si="26"/>
        <v>0</v>
      </c>
      <c r="AF85" s="638">
        <f t="shared" si="38"/>
        <v>0</v>
      </c>
      <c r="AG85" s="322"/>
      <c r="AH85" s="90">
        <f t="shared" si="27"/>
        <v>0</v>
      </c>
      <c r="AI85" s="80">
        <f t="shared" si="28"/>
        <v>0</v>
      </c>
      <c r="AJ85" s="638">
        <f t="shared" si="39"/>
        <v>0</v>
      </c>
      <c r="AK85" s="322"/>
      <c r="AL85" s="80">
        <f t="shared" si="29"/>
        <v>0</v>
      </c>
      <c r="AM85" s="79"/>
      <c r="AN85" s="322"/>
      <c r="AO85" s="79">
        <v>26070</v>
      </c>
      <c r="AP85" s="414">
        <v>24381</v>
      </c>
      <c r="AQ85" s="79">
        <v>15852</v>
      </c>
      <c r="AR85" s="414">
        <v>14888</v>
      </c>
      <c r="AS85" s="79">
        <v>26542</v>
      </c>
      <c r="AT85" s="414">
        <v>26175</v>
      </c>
      <c r="AU85" s="325">
        <f t="shared" si="30"/>
        <v>68464</v>
      </c>
      <c r="AV85" s="90">
        <f t="shared" si="31"/>
        <v>2852.6666666666665</v>
      </c>
      <c r="AW85" s="324">
        <f t="shared" si="32"/>
        <v>65444</v>
      </c>
      <c r="AX85" s="80">
        <f t="shared" si="33"/>
        <v>2726.8333333333335</v>
      </c>
      <c r="AY85" s="326">
        <f t="shared" si="34"/>
        <v>20088.7</v>
      </c>
      <c r="AZ85" s="80">
        <f t="shared" si="35"/>
        <v>19771.666666666664</v>
      </c>
    </row>
    <row r="86" spans="1:52">
      <c r="A86" s="170" t="s">
        <v>712</v>
      </c>
      <c r="B86" s="367" t="s">
        <v>717</v>
      </c>
      <c r="C86" s="172">
        <v>133951</v>
      </c>
      <c r="D86" s="165">
        <v>2</v>
      </c>
      <c r="E86" s="162" t="s">
        <v>442</v>
      </c>
      <c r="F86" s="163" t="s">
        <v>442</v>
      </c>
      <c r="G86" s="79"/>
      <c r="H86" s="322"/>
      <c r="I86" s="79">
        <v>332750</v>
      </c>
      <c r="J86" s="414">
        <v>321810</v>
      </c>
      <c r="K86" s="79">
        <v>161409</v>
      </c>
      <c r="L86" s="414">
        <v>143306</v>
      </c>
      <c r="M86" s="79">
        <v>337867</v>
      </c>
      <c r="N86" s="414">
        <v>339491</v>
      </c>
      <c r="O86" s="323">
        <f t="shared" si="22"/>
        <v>832026</v>
      </c>
      <c r="P86" s="638">
        <f t="shared" si="36"/>
        <v>832026</v>
      </c>
      <c r="Q86" s="535">
        <v>44</v>
      </c>
      <c r="R86" s="90">
        <f t="shared" si="23"/>
        <v>27734.2</v>
      </c>
      <c r="S86" s="324">
        <f t="shared" si="24"/>
        <v>804607</v>
      </c>
      <c r="T86" s="638">
        <f t="shared" si="37"/>
        <v>804607</v>
      </c>
      <c r="U86" s="535">
        <v>113</v>
      </c>
      <c r="V86" s="80">
        <f t="shared" si="25"/>
        <v>26820.233333333334</v>
      </c>
      <c r="W86" s="79"/>
      <c r="X86" s="322"/>
      <c r="Y86" s="79"/>
      <c r="Z86" s="322"/>
      <c r="AA86" s="79"/>
      <c r="AB86" s="322"/>
      <c r="AC86" s="79"/>
      <c r="AD86" s="322"/>
      <c r="AE86" s="323">
        <f t="shared" si="26"/>
        <v>0</v>
      </c>
      <c r="AF86" s="638">
        <f t="shared" si="38"/>
        <v>0</v>
      </c>
      <c r="AG86" s="322"/>
      <c r="AH86" s="90">
        <f t="shared" si="27"/>
        <v>0</v>
      </c>
      <c r="AI86" s="80">
        <f t="shared" si="28"/>
        <v>0</v>
      </c>
      <c r="AJ86" s="638">
        <f t="shared" si="39"/>
        <v>0</v>
      </c>
      <c r="AK86" s="322"/>
      <c r="AL86" s="80">
        <f t="shared" si="29"/>
        <v>0</v>
      </c>
      <c r="AM86" s="79"/>
      <c r="AN86" s="322"/>
      <c r="AO86" s="79">
        <v>49463</v>
      </c>
      <c r="AP86" s="414">
        <v>51694</v>
      </c>
      <c r="AQ86" s="79">
        <v>28132</v>
      </c>
      <c r="AR86" s="414">
        <v>20837</v>
      </c>
      <c r="AS86" s="79">
        <v>51696</v>
      </c>
      <c r="AT86" s="414">
        <v>54557</v>
      </c>
      <c r="AU86" s="325">
        <f t="shared" si="30"/>
        <v>129291</v>
      </c>
      <c r="AV86" s="90">
        <f t="shared" si="31"/>
        <v>5387.125</v>
      </c>
      <c r="AW86" s="324">
        <f t="shared" si="32"/>
        <v>127088</v>
      </c>
      <c r="AX86" s="80">
        <f t="shared" si="33"/>
        <v>5295.333333333333</v>
      </c>
      <c r="AY86" s="326">
        <f t="shared" si="34"/>
        <v>33121.324999999997</v>
      </c>
      <c r="AZ86" s="80">
        <f t="shared" si="35"/>
        <v>32115.566666666666</v>
      </c>
    </row>
    <row r="87" spans="1:52">
      <c r="A87" s="170" t="s">
        <v>712</v>
      </c>
      <c r="B87" s="171" t="s">
        <v>719</v>
      </c>
      <c r="C87" s="172">
        <v>133650</v>
      </c>
      <c r="D87" s="165">
        <v>3</v>
      </c>
      <c r="E87" s="162" t="s">
        <v>442</v>
      </c>
      <c r="F87" s="163" t="s">
        <v>442</v>
      </c>
      <c r="G87" s="79"/>
      <c r="H87" s="322"/>
      <c r="I87" s="79">
        <v>117478</v>
      </c>
      <c r="J87" s="414">
        <v>112072</v>
      </c>
      <c r="K87" s="79">
        <v>30004</v>
      </c>
      <c r="L87" s="414">
        <v>30364</v>
      </c>
      <c r="M87" s="79">
        <v>120351</v>
      </c>
      <c r="N87" s="414">
        <v>121685</v>
      </c>
      <c r="O87" s="323">
        <f t="shared" si="22"/>
        <v>267833</v>
      </c>
      <c r="P87" s="638">
        <f t="shared" si="36"/>
        <v>267833</v>
      </c>
      <c r="Q87" s="535">
        <v>0</v>
      </c>
      <c r="R87" s="90">
        <f t="shared" si="23"/>
        <v>8927.7666666666664</v>
      </c>
      <c r="S87" s="324">
        <f t="shared" si="24"/>
        <v>264121</v>
      </c>
      <c r="T87" s="638">
        <f t="shared" si="37"/>
        <v>264121</v>
      </c>
      <c r="U87" s="535">
        <v>0</v>
      </c>
      <c r="V87" s="80">
        <f t="shared" si="25"/>
        <v>8804.0333333333328</v>
      </c>
      <c r="W87" s="79"/>
      <c r="X87" s="322"/>
      <c r="Y87" s="79"/>
      <c r="Z87" s="322"/>
      <c r="AA87" s="79"/>
      <c r="AB87" s="322"/>
      <c r="AC87" s="79"/>
      <c r="AD87" s="322"/>
      <c r="AE87" s="323">
        <f t="shared" si="26"/>
        <v>0</v>
      </c>
      <c r="AF87" s="638">
        <f t="shared" si="38"/>
        <v>0</v>
      </c>
      <c r="AG87" s="322"/>
      <c r="AH87" s="90">
        <f t="shared" si="27"/>
        <v>0</v>
      </c>
      <c r="AI87" s="80">
        <f t="shared" si="28"/>
        <v>0</v>
      </c>
      <c r="AJ87" s="638">
        <f t="shared" si="39"/>
        <v>0</v>
      </c>
      <c r="AK87" s="322"/>
      <c r="AL87" s="80">
        <f t="shared" si="29"/>
        <v>0</v>
      </c>
      <c r="AM87" s="79"/>
      <c r="AN87" s="322"/>
      <c r="AO87" s="79">
        <v>17282</v>
      </c>
      <c r="AP87" s="414">
        <v>18453</v>
      </c>
      <c r="AQ87" s="79">
        <v>6831</v>
      </c>
      <c r="AR87" s="414">
        <v>6669</v>
      </c>
      <c r="AS87" s="79">
        <v>19037</v>
      </c>
      <c r="AT87" s="414">
        <v>20663</v>
      </c>
      <c r="AU87" s="325">
        <f t="shared" si="30"/>
        <v>43150</v>
      </c>
      <c r="AV87" s="90">
        <f t="shared" si="31"/>
        <v>1797.9166666666667</v>
      </c>
      <c r="AW87" s="324">
        <f t="shared" si="32"/>
        <v>45785</v>
      </c>
      <c r="AX87" s="80">
        <f t="shared" si="33"/>
        <v>1907.7083333333333</v>
      </c>
      <c r="AY87" s="326">
        <f t="shared" si="34"/>
        <v>10725.683333333332</v>
      </c>
      <c r="AZ87" s="80">
        <f t="shared" si="35"/>
        <v>10711.741666666667</v>
      </c>
    </row>
    <row r="88" spans="1:52">
      <c r="A88" s="170" t="s">
        <v>712</v>
      </c>
      <c r="B88" s="171" t="s">
        <v>720</v>
      </c>
      <c r="C88" s="172">
        <v>136172</v>
      </c>
      <c r="D88" s="165">
        <v>3</v>
      </c>
      <c r="E88" s="162" t="s">
        <v>442</v>
      </c>
      <c r="F88" s="163" t="s">
        <v>442</v>
      </c>
      <c r="G88" s="79"/>
      <c r="H88" s="322"/>
      <c r="I88" s="79">
        <v>154619</v>
      </c>
      <c r="J88" s="414">
        <v>156117</v>
      </c>
      <c r="K88" s="79">
        <v>58220</v>
      </c>
      <c r="L88" s="414">
        <v>55682</v>
      </c>
      <c r="M88" s="79">
        <v>168523</v>
      </c>
      <c r="N88" s="414">
        <v>155222</v>
      </c>
      <c r="O88" s="323">
        <f t="shared" si="22"/>
        <v>381362</v>
      </c>
      <c r="P88" s="638">
        <f t="shared" si="36"/>
        <v>381362</v>
      </c>
      <c r="Q88" s="535">
        <v>928</v>
      </c>
      <c r="R88" s="90">
        <f t="shared" si="23"/>
        <v>12712.066666666668</v>
      </c>
      <c r="S88" s="324">
        <f t="shared" si="24"/>
        <v>367021</v>
      </c>
      <c r="T88" s="638">
        <f t="shared" si="37"/>
        <v>367021</v>
      </c>
      <c r="U88" s="535">
        <v>990</v>
      </c>
      <c r="V88" s="80">
        <f t="shared" si="25"/>
        <v>12234.033333333333</v>
      </c>
      <c r="W88" s="79"/>
      <c r="X88" s="322"/>
      <c r="Y88" s="79"/>
      <c r="Z88" s="322"/>
      <c r="AA88" s="79"/>
      <c r="AB88" s="322"/>
      <c r="AC88" s="79"/>
      <c r="AD88" s="322"/>
      <c r="AE88" s="323">
        <f t="shared" si="26"/>
        <v>0</v>
      </c>
      <c r="AF88" s="638">
        <f t="shared" si="38"/>
        <v>0</v>
      </c>
      <c r="AG88" s="322"/>
      <c r="AH88" s="90">
        <f t="shared" si="27"/>
        <v>0</v>
      </c>
      <c r="AI88" s="80">
        <f t="shared" si="28"/>
        <v>0</v>
      </c>
      <c r="AJ88" s="638">
        <f t="shared" si="39"/>
        <v>0</v>
      </c>
      <c r="AK88" s="322"/>
      <c r="AL88" s="80">
        <f t="shared" si="29"/>
        <v>0</v>
      </c>
      <c r="AM88" s="79"/>
      <c r="AN88" s="322"/>
      <c r="AO88" s="79">
        <v>10036</v>
      </c>
      <c r="AP88" s="414">
        <v>11658</v>
      </c>
      <c r="AQ88" s="79">
        <v>7382</v>
      </c>
      <c r="AR88" s="414">
        <v>8144</v>
      </c>
      <c r="AS88" s="79">
        <v>12193</v>
      </c>
      <c r="AT88" s="414">
        <v>12745</v>
      </c>
      <c r="AU88" s="325">
        <f t="shared" si="30"/>
        <v>29611</v>
      </c>
      <c r="AV88" s="90">
        <f t="shared" si="31"/>
        <v>1233.7916666666667</v>
      </c>
      <c r="AW88" s="324">
        <f t="shared" si="32"/>
        <v>32547</v>
      </c>
      <c r="AX88" s="80">
        <f t="shared" si="33"/>
        <v>1356.125</v>
      </c>
      <c r="AY88" s="326">
        <f t="shared" si="34"/>
        <v>13945.858333333334</v>
      </c>
      <c r="AZ88" s="80">
        <f t="shared" si="35"/>
        <v>13590.158333333333</v>
      </c>
    </row>
    <row r="89" spans="1:52">
      <c r="A89" s="170" t="s">
        <v>712</v>
      </c>
      <c r="B89" s="171" t="s">
        <v>721</v>
      </c>
      <c r="C89" s="172">
        <v>138354</v>
      </c>
      <c r="D89" s="165">
        <v>3</v>
      </c>
      <c r="E89" s="162" t="s">
        <v>442</v>
      </c>
      <c r="F89" s="163" t="s">
        <v>442</v>
      </c>
      <c r="G89" s="79"/>
      <c r="H89" s="322"/>
      <c r="I89" s="79">
        <v>88325</v>
      </c>
      <c r="J89" s="414">
        <v>91112.5</v>
      </c>
      <c r="K89" s="79">
        <v>32217</v>
      </c>
      <c r="L89" s="414">
        <v>32780</v>
      </c>
      <c r="M89" s="79">
        <v>97248</v>
      </c>
      <c r="N89" s="414">
        <v>97787.5</v>
      </c>
      <c r="O89" s="323">
        <f t="shared" si="22"/>
        <v>217790</v>
      </c>
      <c r="P89" s="638">
        <f t="shared" si="36"/>
        <v>217790</v>
      </c>
      <c r="Q89" s="535">
        <v>295</v>
      </c>
      <c r="R89" s="90">
        <f t="shared" si="23"/>
        <v>7259.666666666667</v>
      </c>
      <c r="S89" s="324">
        <f t="shared" si="24"/>
        <v>221680</v>
      </c>
      <c r="T89" s="638">
        <f t="shared" si="37"/>
        <v>221680</v>
      </c>
      <c r="U89" s="535">
        <v>239</v>
      </c>
      <c r="V89" s="80">
        <f t="shared" si="25"/>
        <v>7389.333333333333</v>
      </c>
      <c r="W89" s="79"/>
      <c r="X89" s="322"/>
      <c r="Y89" s="79"/>
      <c r="Z89" s="322"/>
      <c r="AA89" s="79"/>
      <c r="AB89" s="322"/>
      <c r="AC89" s="79"/>
      <c r="AD89" s="322"/>
      <c r="AE89" s="323">
        <f t="shared" si="26"/>
        <v>0</v>
      </c>
      <c r="AF89" s="638">
        <f t="shared" si="38"/>
        <v>0</v>
      </c>
      <c r="AG89" s="322"/>
      <c r="AH89" s="90">
        <f t="shared" si="27"/>
        <v>0</v>
      </c>
      <c r="AI89" s="80">
        <f t="shared" si="28"/>
        <v>0</v>
      </c>
      <c r="AJ89" s="638">
        <f t="shared" si="39"/>
        <v>0</v>
      </c>
      <c r="AK89" s="322"/>
      <c r="AL89" s="80">
        <f t="shared" si="29"/>
        <v>0</v>
      </c>
      <c r="AM89" s="79"/>
      <c r="AN89" s="322"/>
      <c r="AO89" s="79">
        <v>7947</v>
      </c>
      <c r="AP89" s="414">
        <v>7973</v>
      </c>
      <c r="AQ89" s="79">
        <v>6703</v>
      </c>
      <c r="AR89" s="414">
        <v>6477.5</v>
      </c>
      <c r="AS89" s="79">
        <v>8770.5</v>
      </c>
      <c r="AT89" s="414">
        <v>8698.5</v>
      </c>
      <c r="AU89" s="325">
        <f t="shared" si="30"/>
        <v>23420.5</v>
      </c>
      <c r="AV89" s="90">
        <f t="shared" si="31"/>
        <v>975.85416666666663</v>
      </c>
      <c r="AW89" s="324">
        <f t="shared" si="32"/>
        <v>23149</v>
      </c>
      <c r="AX89" s="80">
        <f t="shared" si="33"/>
        <v>964.54166666666663</v>
      </c>
      <c r="AY89" s="326">
        <f t="shared" si="34"/>
        <v>8235.5208333333339</v>
      </c>
      <c r="AZ89" s="80">
        <f t="shared" si="35"/>
        <v>8353.875</v>
      </c>
    </row>
    <row r="90" spans="1:52">
      <c r="A90" s="170" t="s">
        <v>712</v>
      </c>
      <c r="B90" s="368" t="s">
        <v>722</v>
      </c>
      <c r="C90" s="369">
        <v>433660</v>
      </c>
      <c r="D90" s="370">
        <v>4</v>
      </c>
      <c r="E90" s="162" t="s">
        <v>442</v>
      </c>
      <c r="F90" s="163" t="s">
        <v>442</v>
      </c>
      <c r="G90" s="79"/>
      <c r="H90" s="322"/>
      <c r="I90" s="79">
        <v>79304</v>
      </c>
      <c r="J90" s="414">
        <v>90997</v>
      </c>
      <c r="K90" s="79">
        <v>21153</v>
      </c>
      <c r="L90" s="414">
        <v>24282</v>
      </c>
      <c r="M90" s="79">
        <v>96557</v>
      </c>
      <c r="N90" s="414">
        <v>106691</v>
      </c>
      <c r="O90" s="323">
        <f t="shared" si="22"/>
        <v>197014</v>
      </c>
      <c r="P90" s="638">
        <f t="shared" si="36"/>
        <v>197014</v>
      </c>
      <c r="Q90" s="535">
        <v>192</v>
      </c>
      <c r="R90" s="90">
        <f t="shared" si="23"/>
        <v>6567.1333333333332</v>
      </c>
      <c r="S90" s="324">
        <f t="shared" si="24"/>
        <v>221970</v>
      </c>
      <c r="T90" s="638">
        <f t="shared" si="37"/>
        <v>221970</v>
      </c>
      <c r="U90" s="535">
        <v>325</v>
      </c>
      <c r="V90" s="80">
        <f t="shared" si="25"/>
        <v>7399</v>
      </c>
      <c r="W90" s="79"/>
      <c r="X90" s="322"/>
      <c r="Y90" s="79"/>
      <c r="Z90" s="322"/>
      <c r="AA90" s="79"/>
      <c r="AB90" s="322"/>
      <c r="AC90" s="79"/>
      <c r="AD90" s="322"/>
      <c r="AE90" s="323">
        <f t="shared" si="26"/>
        <v>0</v>
      </c>
      <c r="AF90" s="638">
        <f t="shared" si="38"/>
        <v>0</v>
      </c>
      <c r="AG90" s="322"/>
      <c r="AH90" s="90">
        <f t="shared" si="27"/>
        <v>0</v>
      </c>
      <c r="AI90" s="80">
        <f t="shared" si="28"/>
        <v>0</v>
      </c>
      <c r="AJ90" s="638">
        <f t="shared" si="39"/>
        <v>0</v>
      </c>
      <c r="AK90" s="322"/>
      <c r="AL90" s="80">
        <f t="shared" si="29"/>
        <v>0</v>
      </c>
      <c r="AM90" s="79"/>
      <c r="AN90" s="322"/>
      <c r="AO90" s="79">
        <v>6052</v>
      </c>
      <c r="AP90" s="414">
        <v>6476</v>
      </c>
      <c r="AQ90" s="79">
        <v>3471</v>
      </c>
      <c r="AR90" s="414">
        <v>4326</v>
      </c>
      <c r="AS90" s="79">
        <v>6474</v>
      </c>
      <c r="AT90" s="414">
        <v>8038</v>
      </c>
      <c r="AU90" s="325">
        <f t="shared" si="30"/>
        <v>15997</v>
      </c>
      <c r="AV90" s="90">
        <f t="shared" si="31"/>
        <v>666.54166666666663</v>
      </c>
      <c r="AW90" s="324">
        <f t="shared" si="32"/>
        <v>18840</v>
      </c>
      <c r="AX90" s="80">
        <f t="shared" si="33"/>
        <v>785</v>
      </c>
      <c r="AY90" s="326">
        <f t="shared" si="34"/>
        <v>7233.6750000000002</v>
      </c>
      <c r="AZ90" s="80">
        <f t="shared" si="35"/>
        <v>8184</v>
      </c>
    </row>
    <row r="91" spans="1:52">
      <c r="A91" s="170" t="s">
        <v>712</v>
      </c>
      <c r="B91" s="171" t="s">
        <v>723</v>
      </c>
      <c r="C91" s="172">
        <v>262129</v>
      </c>
      <c r="D91" s="165">
        <v>6</v>
      </c>
      <c r="E91" s="162" t="s">
        <v>442</v>
      </c>
      <c r="F91" s="163" t="s">
        <v>442</v>
      </c>
      <c r="G91" s="79"/>
      <c r="H91" s="322"/>
      <c r="I91" s="79">
        <v>11224</v>
      </c>
      <c r="J91" s="414">
        <v>11988</v>
      </c>
      <c r="K91" s="79"/>
      <c r="L91" s="414"/>
      <c r="M91" s="79">
        <v>14524</v>
      </c>
      <c r="N91" s="414">
        <v>14796</v>
      </c>
      <c r="O91" s="323">
        <f t="shared" si="22"/>
        <v>25748</v>
      </c>
      <c r="P91" s="638">
        <f t="shared" si="36"/>
        <v>25748</v>
      </c>
      <c r="Q91" s="535">
        <v>0</v>
      </c>
      <c r="R91" s="90">
        <f t="shared" si="23"/>
        <v>858.26666666666665</v>
      </c>
      <c r="S91" s="324">
        <f t="shared" si="24"/>
        <v>26784</v>
      </c>
      <c r="T91" s="638">
        <f t="shared" si="37"/>
        <v>26784</v>
      </c>
      <c r="U91" s="535">
        <v>0</v>
      </c>
      <c r="V91" s="80">
        <f t="shared" si="25"/>
        <v>892.8</v>
      </c>
      <c r="W91" s="79"/>
      <c r="X91" s="322"/>
      <c r="Y91" s="79"/>
      <c r="Z91" s="322"/>
      <c r="AA91" s="79"/>
      <c r="AB91" s="322"/>
      <c r="AC91" s="79"/>
      <c r="AD91" s="322"/>
      <c r="AE91" s="323">
        <f t="shared" si="26"/>
        <v>0</v>
      </c>
      <c r="AF91" s="638">
        <f t="shared" si="38"/>
        <v>0</v>
      </c>
      <c r="AG91" s="322"/>
      <c r="AH91" s="90">
        <f t="shared" si="27"/>
        <v>0</v>
      </c>
      <c r="AI91" s="80">
        <f t="shared" si="28"/>
        <v>0</v>
      </c>
      <c r="AJ91" s="638">
        <f t="shared" si="39"/>
        <v>0</v>
      </c>
      <c r="AK91" s="322"/>
      <c r="AL91" s="80">
        <f t="shared" si="29"/>
        <v>0</v>
      </c>
      <c r="AM91" s="79"/>
      <c r="AN91" s="322"/>
      <c r="AO91" s="79"/>
      <c r="AP91" s="414"/>
      <c r="AQ91" s="79"/>
      <c r="AR91" s="414"/>
      <c r="AS91" s="79"/>
      <c r="AT91" s="414"/>
      <c r="AU91" s="325">
        <f t="shared" si="30"/>
        <v>0</v>
      </c>
      <c r="AV91" s="90">
        <f t="shared" si="31"/>
        <v>0</v>
      </c>
      <c r="AW91" s="324">
        <f t="shared" si="32"/>
        <v>0</v>
      </c>
      <c r="AX91" s="80">
        <f t="shared" si="33"/>
        <v>0</v>
      </c>
      <c r="AY91" s="326">
        <f t="shared" si="34"/>
        <v>858.26666666666665</v>
      </c>
      <c r="AZ91" s="80">
        <f t="shared" si="35"/>
        <v>892.8</v>
      </c>
    </row>
    <row r="92" spans="1:52">
      <c r="A92" s="179" t="s">
        <v>712</v>
      </c>
      <c r="B92" s="203" t="s">
        <v>152</v>
      </c>
      <c r="C92" s="202">
        <v>133021</v>
      </c>
      <c r="D92" s="181">
        <v>7</v>
      </c>
      <c r="E92" s="162" t="s">
        <v>442</v>
      </c>
      <c r="F92" s="163" t="s">
        <v>442</v>
      </c>
      <c r="G92" s="79"/>
      <c r="H92" s="322"/>
      <c r="I92" s="79">
        <v>16709</v>
      </c>
      <c r="J92" s="322">
        <v>17114</v>
      </c>
      <c r="K92" s="79">
        <v>4588</v>
      </c>
      <c r="L92" s="322">
        <v>5427</v>
      </c>
      <c r="M92" s="79">
        <v>18024</v>
      </c>
      <c r="N92" s="322">
        <v>20776</v>
      </c>
      <c r="O92" s="323">
        <f t="shared" si="22"/>
        <v>39321</v>
      </c>
      <c r="P92" s="638">
        <f t="shared" si="36"/>
        <v>0</v>
      </c>
      <c r="Q92" s="639" t="s">
        <v>949</v>
      </c>
      <c r="R92" s="90">
        <f t="shared" si="23"/>
        <v>1310.7</v>
      </c>
      <c r="S92" s="324">
        <f t="shared" si="24"/>
        <v>43317</v>
      </c>
      <c r="T92" s="638">
        <f t="shared" si="37"/>
        <v>43317</v>
      </c>
      <c r="U92" s="322">
        <v>3901</v>
      </c>
      <c r="V92" s="80">
        <f t="shared" si="25"/>
        <v>1443.9</v>
      </c>
      <c r="W92" s="79"/>
      <c r="X92" s="322"/>
      <c r="Y92" s="79">
        <v>109232</v>
      </c>
      <c r="Z92" s="322">
        <v>77854</v>
      </c>
      <c r="AA92" s="79">
        <v>56264</v>
      </c>
      <c r="AB92" s="322">
        <v>35962</v>
      </c>
      <c r="AC92" s="79">
        <v>95770</v>
      </c>
      <c r="AD92" s="322">
        <v>74951</v>
      </c>
      <c r="AE92" s="323">
        <f t="shared" si="26"/>
        <v>261266</v>
      </c>
      <c r="AF92" s="638">
        <f t="shared" si="38"/>
        <v>0</v>
      </c>
      <c r="AG92" s="639" t="s">
        <v>949</v>
      </c>
      <c r="AH92" s="90">
        <f t="shared" si="27"/>
        <v>290.29555555555555</v>
      </c>
      <c r="AI92" s="80">
        <f t="shared" si="28"/>
        <v>188767</v>
      </c>
      <c r="AJ92" s="638">
        <f t="shared" si="39"/>
        <v>188767</v>
      </c>
      <c r="AK92" s="322">
        <v>8267</v>
      </c>
      <c r="AL92" s="80">
        <f t="shared" si="29"/>
        <v>209.74111111111111</v>
      </c>
      <c r="AM92" s="79"/>
      <c r="AN92" s="322"/>
      <c r="AO92" s="79"/>
      <c r="AP92" s="322"/>
      <c r="AQ92" s="79"/>
      <c r="AR92" s="322"/>
      <c r="AS92" s="79"/>
      <c r="AT92" s="322"/>
      <c r="AU92" s="325">
        <f t="shared" si="30"/>
        <v>0</v>
      </c>
      <c r="AV92" s="90">
        <f t="shared" si="31"/>
        <v>0</v>
      </c>
      <c r="AW92" s="324">
        <f t="shared" si="32"/>
        <v>0</v>
      </c>
      <c r="AX92" s="80">
        <f t="shared" si="33"/>
        <v>0</v>
      </c>
      <c r="AY92" s="326">
        <f t="shared" si="34"/>
        <v>1600.9955555555557</v>
      </c>
      <c r="AZ92" s="80">
        <f t="shared" si="35"/>
        <v>1653.6411111111113</v>
      </c>
    </row>
    <row r="93" spans="1:52">
      <c r="A93" s="179" t="s">
        <v>712</v>
      </c>
      <c r="B93" s="203" t="s">
        <v>162</v>
      </c>
      <c r="C93" s="202">
        <v>135717</v>
      </c>
      <c r="D93" s="181">
        <v>7</v>
      </c>
      <c r="E93" s="162" t="s">
        <v>442</v>
      </c>
      <c r="F93" s="163" t="s">
        <v>442</v>
      </c>
      <c r="G93" s="79"/>
      <c r="H93" s="322"/>
      <c r="I93" s="79">
        <v>482502</v>
      </c>
      <c r="J93" s="322">
        <v>516312</v>
      </c>
      <c r="K93" s="79">
        <v>262119</v>
      </c>
      <c r="L93" s="322">
        <v>272485</v>
      </c>
      <c r="M93" s="79">
        <v>536601</v>
      </c>
      <c r="N93" s="322">
        <v>565389</v>
      </c>
      <c r="O93" s="323">
        <f t="shared" si="22"/>
        <v>1281222</v>
      </c>
      <c r="P93" s="638">
        <f t="shared" si="36"/>
        <v>0</v>
      </c>
      <c r="Q93" s="639" t="s">
        <v>949</v>
      </c>
      <c r="R93" s="90">
        <f t="shared" si="23"/>
        <v>42707.4</v>
      </c>
      <c r="S93" s="324">
        <f t="shared" si="24"/>
        <v>1354186</v>
      </c>
      <c r="T93" s="638">
        <f t="shared" si="37"/>
        <v>1354186</v>
      </c>
      <c r="U93" s="322">
        <v>19963</v>
      </c>
      <c r="V93" s="80">
        <f t="shared" si="25"/>
        <v>45139.533333333333</v>
      </c>
      <c r="W93" s="79"/>
      <c r="X93" s="322"/>
      <c r="Y93" s="79">
        <v>2929078</v>
      </c>
      <c r="Z93" s="322">
        <v>3045387</v>
      </c>
      <c r="AA93" s="79">
        <v>2714207</v>
      </c>
      <c r="AB93" s="322">
        <v>2796873</v>
      </c>
      <c r="AC93" s="79">
        <v>2818225</v>
      </c>
      <c r="AD93" s="322">
        <v>2959024</v>
      </c>
      <c r="AE93" s="323">
        <f t="shared" si="26"/>
        <v>8461510</v>
      </c>
      <c r="AF93" s="638">
        <f t="shared" si="38"/>
        <v>0</v>
      </c>
      <c r="AG93" s="639" t="s">
        <v>949</v>
      </c>
      <c r="AH93" s="90">
        <f t="shared" si="27"/>
        <v>9401.677777777777</v>
      </c>
      <c r="AI93" s="80">
        <f t="shared" si="28"/>
        <v>8801284</v>
      </c>
      <c r="AJ93" s="638">
        <f t="shared" si="39"/>
        <v>8801284</v>
      </c>
      <c r="AK93" s="322">
        <v>0</v>
      </c>
      <c r="AL93" s="80">
        <f t="shared" si="29"/>
        <v>9779.2044444444437</v>
      </c>
      <c r="AM93" s="79"/>
      <c r="AN93" s="322"/>
      <c r="AO93" s="79"/>
      <c r="AP93" s="322"/>
      <c r="AQ93" s="79"/>
      <c r="AR93" s="322"/>
      <c r="AS93" s="79"/>
      <c r="AT93" s="322"/>
      <c r="AU93" s="325">
        <f t="shared" si="30"/>
        <v>0</v>
      </c>
      <c r="AV93" s="90">
        <f t="shared" si="31"/>
        <v>0</v>
      </c>
      <c r="AW93" s="324">
        <f t="shared" si="32"/>
        <v>0</v>
      </c>
      <c r="AX93" s="80">
        <f t="shared" si="33"/>
        <v>0</v>
      </c>
      <c r="AY93" s="326">
        <f t="shared" si="34"/>
        <v>52109.077777777777</v>
      </c>
      <c r="AZ93" s="80">
        <f t="shared" si="35"/>
        <v>54918.737777777773</v>
      </c>
    </row>
    <row r="94" spans="1:52">
      <c r="A94" s="179" t="s">
        <v>712</v>
      </c>
      <c r="B94" s="371" t="s">
        <v>99</v>
      </c>
      <c r="C94" s="372">
        <v>136233</v>
      </c>
      <c r="D94" s="407">
        <v>7</v>
      </c>
      <c r="E94" s="162" t="s">
        <v>442</v>
      </c>
      <c r="F94" s="163" t="s">
        <v>442</v>
      </c>
      <c r="G94" s="79"/>
      <c r="H94" s="322"/>
      <c r="I94" s="79">
        <v>54199</v>
      </c>
      <c r="J94" s="322">
        <v>59403</v>
      </c>
      <c r="K94" s="79">
        <v>23768</v>
      </c>
      <c r="L94" s="322">
        <v>26034</v>
      </c>
      <c r="M94" s="79">
        <v>61229</v>
      </c>
      <c r="N94" s="322">
        <v>65288</v>
      </c>
      <c r="O94" s="323">
        <f t="shared" si="22"/>
        <v>139196</v>
      </c>
      <c r="P94" s="638">
        <f t="shared" si="36"/>
        <v>0</v>
      </c>
      <c r="Q94" s="639" t="s">
        <v>949</v>
      </c>
      <c r="R94" s="90">
        <f t="shared" si="23"/>
        <v>4639.8666666666668</v>
      </c>
      <c r="S94" s="324">
        <f t="shared" si="24"/>
        <v>150725</v>
      </c>
      <c r="T94" s="638">
        <f t="shared" si="37"/>
        <v>150725</v>
      </c>
      <c r="U94" s="322">
        <v>5983</v>
      </c>
      <c r="V94" s="80">
        <f t="shared" si="25"/>
        <v>5024.166666666667</v>
      </c>
      <c r="W94" s="79"/>
      <c r="X94" s="322"/>
      <c r="Y94" s="79">
        <v>127589</v>
      </c>
      <c r="Z94" s="322">
        <v>138334</v>
      </c>
      <c r="AA94" s="79">
        <v>94723</v>
      </c>
      <c r="AB94" s="322">
        <v>83715</v>
      </c>
      <c r="AC94" s="79">
        <v>139018</v>
      </c>
      <c r="AD94" s="322">
        <v>145682</v>
      </c>
      <c r="AE94" s="323">
        <f t="shared" si="26"/>
        <v>361330</v>
      </c>
      <c r="AF94" s="638">
        <f t="shared" si="38"/>
        <v>0</v>
      </c>
      <c r="AG94" s="639" t="s">
        <v>949</v>
      </c>
      <c r="AH94" s="90">
        <f t="shared" si="27"/>
        <v>401.47777777777776</v>
      </c>
      <c r="AI94" s="80">
        <f t="shared" si="28"/>
        <v>367731</v>
      </c>
      <c r="AJ94" s="638">
        <f t="shared" si="39"/>
        <v>367731</v>
      </c>
      <c r="AK94" s="322">
        <v>0</v>
      </c>
      <c r="AL94" s="80">
        <f t="shared" si="29"/>
        <v>408.59</v>
      </c>
      <c r="AM94" s="79"/>
      <c r="AN94" s="322"/>
      <c r="AO94" s="79"/>
      <c r="AP94" s="322"/>
      <c r="AQ94" s="79"/>
      <c r="AR94" s="322"/>
      <c r="AS94" s="79"/>
      <c r="AT94" s="322"/>
      <c r="AU94" s="325">
        <f t="shared" si="30"/>
        <v>0</v>
      </c>
      <c r="AV94" s="90">
        <f t="shared" si="31"/>
        <v>0</v>
      </c>
      <c r="AW94" s="324">
        <f t="shared" si="32"/>
        <v>0</v>
      </c>
      <c r="AX94" s="80">
        <f t="shared" si="33"/>
        <v>0</v>
      </c>
      <c r="AY94" s="326">
        <f t="shared" si="34"/>
        <v>5041.3444444444449</v>
      </c>
      <c r="AZ94" s="80">
        <f t="shared" si="35"/>
        <v>5432.7566666666671</v>
      </c>
    </row>
    <row r="95" spans="1:52">
      <c r="A95" s="179" t="s">
        <v>712</v>
      </c>
      <c r="B95" s="203" t="s">
        <v>169</v>
      </c>
      <c r="C95" s="202">
        <v>137078</v>
      </c>
      <c r="D95" s="181">
        <v>7</v>
      </c>
      <c r="E95" s="162" t="s">
        <v>442</v>
      </c>
      <c r="F95" s="163" t="s">
        <v>442</v>
      </c>
      <c r="G95" s="79"/>
      <c r="H95" s="322"/>
      <c r="I95" s="79">
        <v>201520</v>
      </c>
      <c r="J95" s="322">
        <v>212497</v>
      </c>
      <c r="K95" s="79">
        <v>80572</v>
      </c>
      <c r="L95" s="322">
        <v>85117</v>
      </c>
      <c r="M95" s="79">
        <v>217859</v>
      </c>
      <c r="N95" s="322">
        <v>229163</v>
      </c>
      <c r="O95" s="323">
        <f t="shared" si="22"/>
        <v>499951</v>
      </c>
      <c r="P95" s="638">
        <f t="shared" si="36"/>
        <v>0</v>
      </c>
      <c r="Q95" s="639" t="s">
        <v>949</v>
      </c>
      <c r="R95" s="90">
        <f t="shared" si="23"/>
        <v>16665.033333333333</v>
      </c>
      <c r="S95" s="324">
        <f t="shared" si="24"/>
        <v>526777</v>
      </c>
      <c r="T95" s="638">
        <f t="shared" si="37"/>
        <v>526777</v>
      </c>
      <c r="U95" s="322">
        <v>17910</v>
      </c>
      <c r="V95" s="80">
        <f t="shared" si="25"/>
        <v>17559.233333333334</v>
      </c>
      <c r="W95" s="79"/>
      <c r="X95" s="322"/>
      <c r="Y95" s="79">
        <v>179865</v>
      </c>
      <c r="Z95" s="322">
        <v>147103</v>
      </c>
      <c r="AA95" s="79">
        <v>115131</v>
      </c>
      <c r="AB95" s="322">
        <v>88374</v>
      </c>
      <c r="AC95" s="79">
        <v>168954</v>
      </c>
      <c r="AD95" s="322">
        <v>174167</v>
      </c>
      <c r="AE95" s="323">
        <f t="shared" si="26"/>
        <v>463950</v>
      </c>
      <c r="AF95" s="638">
        <f t="shared" si="38"/>
        <v>0</v>
      </c>
      <c r="AG95" s="639" t="s">
        <v>949</v>
      </c>
      <c r="AH95" s="90">
        <f t="shared" si="27"/>
        <v>515.5</v>
      </c>
      <c r="AI95" s="80">
        <f t="shared" si="28"/>
        <v>409644</v>
      </c>
      <c r="AJ95" s="638">
        <f t="shared" si="39"/>
        <v>409644</v>
      </c>
      <c r="AK95" s="322">
        <v>0</v>
      </c>
      <c r="AL95" s="80">
        <f t="shared" si="29"/>
        <v>455.16</v>
      </c>
      <c r="AM95" s="79"/>
      <c r="AN95" s="322"/>
      <c r="AO95" s="79"/>
      <c r="AP95" s="322"/>
      <c r="AQ95" s="79"/>
      <c r="AR95" s="322"/>
      <c r="AS95" s="79"/>
      <c r="AT95" s="322"/>
      <c r="AU95" s="325">
        <f t="shared" si="30"/>
        <v>0</v>
      </c>
      <c r="AV95" s="90">
        <f t="shared" si="31"/>
        <v>0</v>
      </c>
      <c r="AW95" s="324">
        <f t="shared" si="32"/>
        <v>0</v>
      </c>
      <c r="AX95" s="80">
        <f t="shared" si="33"/>
        <v>0</v>
      </c>
      <c r="AY95" s="326">
        <f t="shared" si="34"/>
        <v>17180.533333333333</v>
      </c>
      <c r="AZ95" s="80">
        <f t="shared" si="35"/>
        <v>18014.393333333333</v>
      </c>
    </row>
    <row r="96" spans="1:52">
      <c r="A96" s="179" t="s">
        <v>712</v>
      </c>
      <c r="B96" s="201" t="s">
        <v>149</v>
      </c>
      <c r="C96" s="202">
        <v>132693</v>
      </c>
      <c r="D96" s="181">
        <v>8</v>
      </c>
      <c r="E96" s="162" t="s">
        <v>442</v>
      </c>
      <c r="F96" s="163" t="s">
        <v>442</v>
      </c>
      <c r="G96" s="79"/>
      <c r="H96" s="322"/>
      <c r="I96" s="79">
        <v>106708</v>
      </c>
      <c r="J96" s="322">
        <v>121486</v>
      </c>
      <c r="K96" s="79">
        <v>39646</v>
      </c>
      <c r="L96" s="322">
        <v>39473</v>
      </c>
      <c r="M96" s="79">
        <v>123477</v>
      </c>
      <c r="N96" s="322">
        <v>133277</v>
      </c>
      <c r="O96" s="323">
        <f t="shared" si="22"/>
        <v>269831</v>
      </c>
      <c r="P96" s="638">
        <f t="shared" si="36"/>
        <v>0</v>
      </c>
      <c r="Q96" s="639" t="s">
        <v>949</v>
      </c>
      <c r="R96" s="90">
        <f t="shared" si="23"/>
        <v>8994.3666666666668</v>
      </c>
      <c r="S96" s="324">
        <f t="shared" si="24"/>
        <v>294236</v>
      </c>
      <c r="T96" s="638">
        <f t="shared" si="37"/>
        <v>294236</v>
      </c>
      <c r="U96" s="322">
        <v>33203</v>
      </c>
      <c r="V96" s="80">
        <f t="shared" si="25"/>
        <v>9807.8666666666668</v>
      </c>
      <c r="W96" s="79"/>
      <c r="X96" s="322"/>
      <c r="Y96" s="79">
        <v>544234</v>
      </c>
      <c r="Z96" s="322">
        <v>508014</v>
      </c>
      <c r="AA96" s="79">
        <v>175054</v>
      </c>
      <c r="AB96" s="322">
        <v>182056</v>
      </c>
      <c r="AC96" s="79">
        <v>578101</v>
      </c>
      <c r="AD96" s="322">
        <v>655185</v>
      </c>
      <c r="AE96" s="323">
        <f t="shared" si="26"/>
        <v>1297389</v>
      </c>
      <c r="AF96" s="638">
        <f t="shared" si="38"/>
        <v>0</v>
      </c>
      <c r="AG96" s="639" t="s">
        <v>949</v>
      </c>
      <c r="AH96" s="90">
        <f t="shared" si="27"/>
        <v>1441.5433333333333</v>
      </c>
      <c r="AI96" s="80">
        <f t="shared" si="28"/>
        <v>1345255</v>
      </c>
      <c r="AJ96" s="638">
        <f t="shared" si="39"/>
        <v>1345255</v>
      </c>
      <c r="AK96" s="322">
        <v>81951</v>
      </c>
      <c r="AL96" s="80">
        <f t="shared" si="29"/>
        <v>1494.7277777777779</v>
      </c>
      <c r="AM96" s="79"/>
      <c r="AN96" s="322"/>
      <c r="AO96" s="79"/>
      <c r="AP96" s="322"/>
      <c r="AQ96" s="79"/>
      <c r="AR96" s="322"/>
      <c r="AS96" s="79"/>
      <c r="AT96" s="322"/>
      <c r="AU96" s="325">
        <f t="shared" si="30"/>
        <v>0</v>
      </c>
      <c r="AV96" s="90">
        <f t="shared" si="31"/>
        <v>0</v>
      </c>
      <c r="AW96" s="324">
        <f t="shared" si="32"/>
        <v>0</v>
      </c>
      <c r="AX96" s="80">
        <f t="shared" si="33"/>
        <v>0</v>
      </c>
      <c r="AY96" s="326">
        <f t="shared" si="34"/>
        <v>10435.91</v>
      </c>
      <c r="AZ96" s="80">
        <f t="shared" si="35"/>
        <v>11302.594444444445</v>
      </c>
    </row>
    <row r="97" spans="1:52">
      <c r="A97" s="179" t="s">
        <v>712</v>
      </c>
      <c r="B97" s="201" t="s">
        <v>150</v>
      </c>
      <c r="C97" s="202">
        <v>132709</v>
      </c>
      <c r="D97" s="181">
        <v>8</v>
      </c>
      <c r="E97" s="162" t="s">
        <v>442</v>
      </c>
      <c r="F97" s="163" t="s">
        <v>442</v>
      </c>
      <c r="G97" s="79"/>
      <c r="H97" s="322"/>
      <c r="I97" s="79">
        <v>254715</v>
      </c>
      <c r="J97" s="322">
        <v>270956</v>
      </c>
      <c r="K97" s="79">
        <v>122027</v>
      </c>
      <c r="L97" s="322">
        <v>133254</v>
      </c>
      <c r="M97" s="79">
        <v>274548</v>
      </c>
      <c r="N97" s="322">
        <v>289901</v>
      </c>
      <c r="O97" s="323">
        <f t="shared" si="22"/>
        <v>651290</v>
      </c>
      <c r="P97" s="638">
        <f t="shared" si="36"/>
        <v>0</v>
      </c>
      <c r="Q97" s="639" t="s">
        <v>949</v>
      </c>
      <c r="R97" s="90">
        <f t="shared" si="23"/>
        <v>21709.666666666668</v>
      </c>
      <c r="S97" s="324">
        <f t="shared" si="24"/>
        <v>694111</v>
      </c>
      <c r="T97" s="638">
        <f t="shared" si="37"/>
        <v>694111</v>
      </c>
      <c r="U97" s="322">
        <v>24859</v>
      </c>
      <c r="V97" s="80">
        <f t="shared" si="25"/>
        <v>23137.033333333333</v>
      </c>
      <c r="W97" s="79"/>
      <c r="X97" s="322"/>
      <c r="Y97" s="79">
        <v>348944</v>
      </c>
      <c r="Z97" s="322">
        <v>273147</v>
      </c>
      <c r="AA97" s="79">
        <v>151200</v>
      </c>
      <c r="AB97" s="322">
        <v>169468</v>
      </c>
      <c r="AC97" s="79">
        <v>279108</v>
      </c>
      <c r="AD97" s="322">
        <v>256481</v>
      </c>
      <c r="AE97" s="323">
        <f t="shared" si="26"/>
        <v>779252</v>
      </c>
      <c r="AF97" s="638">
        <f t="shared" si="38"/>
        <v>0</v>
      </c>
      <c r="AG97" s="639" t="s">
        <v>949</v>
      </c>
      <c r="AH97" s="90">
        <f t="shared" si="27"/>
        <v>865.83555555555552</v>
      </c>
      <c r="AI97" s="80">
        <f t="shared" si="28"/>
        <v>699096</v>
      </c>
      <c r="AJ97" s="638">
        <f t="shared" si="39"/>
        <v>699096</v>
      </c>
      <c r="AK97" s="322">
        <v>0</v>
      </c>
      <c r="AL97" s="80">
        <f t="shared" si="29"/>
        <v>776.77333333333331</v>
      </c>
      <c r="AM97" s="79"/>
      <c r="AN97" s="322"/>
      <c r="AO97" s="79"/>
      <c r="AP97" s="322"/>
      <c r="AQ97" s="79"/>
      <c r="AR97" s="322"/>
      <c r="AS97" s="79"/>
      <c r="AT97" s="322"/>
      <c r="AU97" s="325">
        <f t="shared" si="30"/>
        <v>0</v>
      </c>
      <c r="AV97" s="90">
        <f t="shared" si="31"/>
        <v>0</v>
      </c>
      <c r="AW97" s="324">
        <f t="shared" si="32"/>
        <v>0</v>
      </c>
      <c r="AX97" s="80">
        <f t="shared" si="33"/>
        <v>0</v>
      </c>
      <c r="AY97" s="326">
        <f t="shared" si="34"/>
        <v>22575.502222222225</v>
      </c>
      <c r="AZ97" s="80">
        <f t="shared" si="35"/>
        <v>23913.806666666667</v>
      </c>
    </row>
    <row r="98" spans="1:52">
      <c r="A98" s="179" t="s">
        <v>712</v>
      </c>
      <c r="B98" s="201" t="s">
        <v>153</v>
      </c>
      <c r="C98" s="202">
        <v>133386</v>
      </c>
      <c r="D98" s="181">
        <v>8</v>
      </c>
      <c r="E98" s="162" t="s">
        <v>442</v>
      </c>
      <c r="F98" s="163" t="s">
        <v>442</v>
      </c>
      <c r="G98" s="79"/>
      <c r="H98" s="322"/>
      <c r="I98" s="79">
        <v>91438</v>
      </c>
      <c r="J98" s="322">
        <v>122409</v>
      </c>
      <c r="K98" s="79">
        <v>36363</v>
      </c>
      <c r="L98" s="322">
        <v>39427</v>
      </c>
      <c r="M98" s="79">
        <v>122982</v>
      </c>
      <c r="N98" s="322">
        <v>138542</v>
      </c>
      <c r="O98" s="323">
        <f t="shared" si="22"/>
        <v>250783</v>
      </c>
      <c r="P98" s="638">
        <f t="shared" si="36"/>
        <v>0</v>
      </c>
      <c r="Q98" s="639" t="s">
        <v>949</v>
      </c>
      <c r="R98" s="90">
        <f t="shared" si="23"/>
        <v>8359.4333333333325</v>
      </c>
      <c r="S98" s="324">
        <f t="shared" si="24"/>
        <v>300378</v>
      </c>
      <c r="T98" s="638">
        <f t="shared" si="37"/>
        <v>300378</v>
      </c>
      <c r="U98" s="322">
        <v>17480</v>
      </c>
      <c r="V98" s="80">
        <f t="shared" si="25"/>
        <v>10012.6</v>
      </c>
      <c r="W98" s="79"/>
      <c r="X98" s="322"/>
      <c r="Y98" s="79">
        <v>783073</v>
      </c>
      <c r="Z98" s="322">
        <v>1163385</v>
      </c>
      <c r="AA98" s="79">
        <v>662056</v>
      </c>
      <c r="AB98" s="322">
        <v>628110</v>
      </c>
      <c r="AC98" s="79">
        <v>1378669</v>
      </c>
      <c r="AD98" s="322">
        <v>1107943</v>
      </c>
      <c r="AE98" s="323">
        <f t="shared" si="26"/>
        <v>2823798</v>
      </c>
      <c r="AF98" s="638">
        <f t="shared" si="38"/>
        <v>0</v>
      </c>
      <c r="AG98" s="639" t="s">
        <v>949</v>
      </c>
      <c r="AH98" s="90">
        <f t="shared" si="27"/>
        <v>3137.5533333333333</v>
      </c>
      <c r="AI98" s="80">
        <f t="shared" si="28"/>
        <v>2899438</v>
      </c>
      <c r="AJ98" s="638">
        <f t="shared" si="39"/>
        <v>2899438</v>
      </c>
      <c r="AK98" s="322">
        <v>33028</v>
      </c>
      <c r="AL98" s="80">
        <f t="shared" si="29"/>
        <v>3221.597777777778</v>
      </c>
      <c r="AM98" s="79"/>
      <c r="AN98" s="322"/>
      <c r="AO98" s="79"/>
      <c r="AP98" s="322"/>
      <c r="AQ98" s="79"/>
      <c r="AR98" s="322"/>
      <c r="AS98" s="79"/>
      <c r="AT98" s="322"/>
      <c r="AU98" s="325">
        <f t="shared" si="30"/>
        <v>0</v>
      </c>
      <c r="AV98" s="90">
        <f t="shared" si="31"/>
        <v>0</v>
      </c>
      <c r="AW98" s="324">
        <f t="shared" si="32"/>
        <v>0</v>
      </c>
      <c r="AX98" s="80">
        <f t="shared" si="33"/>
        <v>0</v>
      </c>
      <c r="AY98" s="326">
        <f t="shared" si="34"/>
        <v>11496.986666666666</v>
      </c>
      <c r="AZ98" s="80">
        <f t="shared" si="35"/>
        <v>13234.197777777779</v>
      </c>
    </row>
    <row r="99" spans="1:52">
      <c r="A99" s="179" t="s">
        <v>712</v>
      </c>
      <c r="B99" s="201" t="s">
        <v>76</v>
      </c>
      <c r="C99" s="202">
        <v>133508</v>
      </c>
      <c r="D99" s="181">
        <v>8</v>
      </c>
      <c r="E99" s="162" t="s">
        <v>442</v>
      </c>
      <c r="F99" s="163" t="s">
        <v>442</v>
      </c>
      <c r="G99" s="79"/>
      <c r="H99" s="322"/>
      <c r="I99" s="79">
        <v>87413</v>
      </c>
      <c r="J99" s="322">
        <v>99439</v>
      </c>
      <c r="K99" s="79">
        <v>39457</v>
      </c>
      <c r="L99" s="322">
        <v>43790</v>
      </c>
      <c r="M99" s="79">
        <v>103017</v>
      </c>
      <c r="N99" s="322">
        <v>116839</v>
      </c>
      <c r="O99" s="323">
        <f t="shared" si="22"/>
        <v>229887</v>
      </c>
      <c r="P99" s="638">
        <f t="shared" si="36"/>
        <v>0</v>
      </c>
      <c r="Q99" s="639" t="s">
        <v>949</v>
      </c>
      <c r="R99" s="90">
        <f t="shared" si="23"/>
        <v>7662.9</v>
      </c>
      <c r="S99" s="324">
        <f t="shared" si="24"/>
        <v>260068</v>
      </c>
      <c r="T99" s="638">
        <f t="shared" si="37"/>
        <v>260068</v>
      </c>
      <c r="U99" s="322">
        <v>15951</v>
      </c>
      <c r="V99" s="80">
        <f t="shared" si="25"/>
        <v>8668.9333333333325</v>
      </c>
      <c r="W99" s="79"/>
      <c r="X99" s="322"/>
      <c r="Y99" s="79">
        <v>24321</v>
      </c>
      <c r="Z99" s="322">
        <v>21084</v>
      </c>
      <c r="AA99" s="79">
        <v>4956</v>
      </c>
      <c r="AB99" s="322">
        <v>8943</v>
      </c>
      <c r="AC99" s="79">
        <v>30300</v>
      </c>
      <c r="AD99" s="322">
        <v>19383</v>
      </c>
      <c r="AE99" s="323">
        <f t="shared" si="26"/>
        <v>59577</v>
      </c>
      <c r="AF99" s="638">
        <f t="shared" si="38"/>
        <v>0</v>
      </c>
      <c r="AG99" s="639" t="s">
        <v>949</v>
      </c>
      <c r="AH99" s="90">
        <f t="shared" si="27"/>
        <v>66.196666666666673</v>
      </c>
      <c r="AI99" s="80">
        <f t="shared" si="28"/>
        <v>49410</v>
      </c>
      <c r="AJ99" s="638">
        <f t="shared" si="39"/>
        <v>49410</v>
      </c>
      <c r="AK99" s="322">
        <v>0</v>
      </c>
      <c r="AL99" s="80">
        <f t="shared" si="29"/>
        <v>54.9</v>
      </c>
      <c r="AM99" s="79"/>
      <c r="AN99" s="322"/>
      <c r="AO99" s="79"/>
      <c r="AP99" s="322"/>
      <c r="AQ99" s="79"/>
      <c r="AR99" s="322"/>
      <c r="AS99" s="79"/>
      <c r="AT99" s="322"/>
      <c r="AU99" s="325">
        <f t="shared" si="30"/>
        <v>0</v>
      </c>
      <c r="AV99" s="90">
        <f t="shared" si="31"/>
        <v>0</v>
      </c>
      <c r="AW99" s="324">
        <f t="shared" si="32"/>
        <v>0</v>
      </c>
      <c r="AX99" s="80">
        <f t="shared" si="33"/>
        <v>0</v>
      </c>
      <c r="AY99" s="326">
        <f t="shared" si="34"/>
        <v>7729.0966666666664</v>
      </c>
      <c r="AZ99" s="80">
        <f t="shared" si="35"/>
        <v>8723.8333333333321</v>
      </c>
    </row>
    <row r="100" spans="1:52">
      <c r="A100" s="179" t="s">
        <v>712</v>
      </c>
      <c r="B100" s="201" t="s">
        <v>154</v>
      </c>
      <c r="C100" s="202">
        <v>133702</v>
      </c>
      <c r="D100" s="181">
        <v>8</v>
      </c>
      <c r="E100" s="162" t="s">
        <v>442</v>
      </c>
      <c r="F100" s="163" t="s">
        <v>442</v>
      </c>
      <c r="G100" s="79"/>
      <c r="H100" s="322"/>
      <c r="I100" s="79">
        <v>188630</v>
      </c>
      <c r="J100" s="322">
        <v>188007</v>
      </c>
      <c r="K100" s="79">
        <v>91652</v>
      </c>
      <c r="L100" s="322">
        <v>102116</v>
      </c>
      <c r="M100" s="79">
        <v>185408</v>
      </c>
      <c r="N100" s="322">
        <v>212972</v>
      </c>
      <c r="O100" s="323">
        <f t="shared" si="22"/>
        <v>465690</v>
      </c>
      <c r="P100" s="638">
        <f t="shared" si="36"/>
        <v>0</v>
      </c>
      <c r="Q100" s="639" t="s">
        <v>949</v>
      </c>
      <c r="R100" s="90">
        <f t="shared" ref="R100:R131" si="40">+O100/30</f>
        <v>15523</v>
      </c>
      <c r="S100" s="324">
        <f t="shared" si="24"/>
        <v>503095</v>
      </c>
      <c r="T100" s="638">
        <f t="shared" si="37"/>
        <v>503095</v>
      </c>
      <c r="U100" s="322">
        <v>16802</v>
      </c>
      <c r="V100" s="80">
        <f t="shared" ref="V100:V131" si="41">+S100/30</f>
        <v>16769.833333333332</v>
      </c>
      <c r="W100" s="79"/>
      <c r="X100" s="322"/>
      <c r="Y100" s="79">
        <v>1938236</v>
      </c>
      <c r="Z100" s="322">
        <v>2726747</v>
      </c>
      <c r="AA100" s="79">
        <v>1557342</v>
      </c>
      <c r="AB100" s="322">
        <v>1580613</v>
      </c>
      <c r="AC100" s="79">
        <v>2125872</v>
      </c>
      <c r="AD100" s="322">
        <v>2353574</v>
      </c>
      <c r="AE100" s="323">
        <f t="shared" si="26"/>
        <v>5621450</v>
      </c>
      <c r="AF100" s="638">
        <f t="shared" si="38"/>
        <v>0</v>
      </c>
      <c r="AG100" s="639" t="s">
        <v>949</v>
      </c>
      <c r="AH100" s="90">
        <f t="shared" si="27"/>
        <v>6246.0555555555557</v>
      </c>
      <c r="AI100" s="80">
        <f t="shared" si="28"/>
        <v>6660934</v>
      </c>
      <c r="AJ100" s="638">
        <f t="shared" si="39"/>
        <v>6660934</v>
      </c>
      <c r="AK100" s="322">
        <v>35629</v>
      </c>
      <c r="AL100" s="80">
        <f t="shared" si="29"/>
        <v>7401.0377777777776</v>
      </c>
      <c r="AM100" s="79"/>
      <c r="AN100" s="322"/>
      <c r="AO100" s="79"/>
      <c r="AP100" s="322"/>
      <c r="AQ100" s="79"/>
      <c r="AR100" s="322"/>
      <c r="AS100" s="79"/>
      <c r="AT100" s="322"/>
      <c r="AU100" s="325">
        <f t="shared" si="30"/>
        <v>0</v>
      </c>
      <c r="AV100" s="90">
        <f t="shared" ref="AV100:AV131" si="42">+AU100/24</f>
        <v>0</v>
      </c>
      <c r="AW100" s="324">
        <f t="shared" si="32"/>
        <v>0</v>
      </c>
      <c r="AX100" s="80">
        <f t="shared" ref="AX100:AX131" si="43">+AW100/24</f>
        <v>0</v>
      </c>
      <c r="AY100" s="326">
        <f t="shared" si="34"/>
        <v>21769.055555555555</v>
      </c>
      <c r="AZ100" s="80">
        <f t="shared" si="35"/>
        <v>24170.871111111112</v>
      </c>
    </row>
    <row r="101" spans="1:52">
      <c r="A101" s="179" t="s">
        <v>712</v>
      </c>
      <c r="B101" s="201" t="s">
        <v>157</v>
      </c>
      <c r="C101" s="202">
        <v>134495</v>
      </c>
      <c r="D101" s="181">
        <v>8</v>
      </c>
      <c r="E101" s="162" t="s">
        <v>442</v>
      </c>
      <c r="F101" s="163" t="s">
        <v>442</v>
      </c>
      <c r="G101" s="79"/>
      <c r="H101" s="322"/>
      <c r="I101" s="79">
        <v>180569</v>
      </c>
      <c r="J101" s="322">
        <v>183758</v>
      </c>
      <c r="K101" s="79">
        <v>63753</v>
      </c>
      <c r="L101" s="322">
        <v>71207</v>
      </c>
      <c r="M101" s="79">
        <v>194099</v>
      </c>
      <c r="N101" s="322">
        <v>209829</v>
      </c>
      <c r="O101" s="323">
        <f t="shared" si="22"/>
        <v>438421</v>
      </c>
      <c r="P101" s="638">
        <f t="shared" si="36"/>
        <v>0</v>
      </c>
      <c r="Q101" s="639" t="s">
        <v>949</v>
      </c>
      <c r="R101" s="90">
        <f t="shared" si="40"/>
        <v>14614.033333333333</v>
      </c>
      <c r="S101" s="324">
        <f t="shared" si="24"/>
        <v>464794</v>
      </c>
      <c r="T101" s="638">
        <f t="shared" si="37"/>
        <v>464794</v>
      </c>
      <c r="U101" s="322">
        <v>7057</v>
      </c>
      <c r="V101" s="80">
        <f t="shared" si="41"/>
        <v>15493.133333333333</v>
      </c>
      <c r="W101" s="79"/>
      <c r="X101" s="322"/>
      <c r="Y101" s="79">
        <v>958274</v>
      </c>
      <c r="Z101" s="322">
        <v>921346</v>
      </c>
      <c r="AA101" s="79">
        <v>202451</v>
      </c>
      <c r="AB101" s="322">
        <v>237818</v>
      </c>
      <c r="AC101" s="79">
        <v>1031724</v>
      </c>
      <c r="AD101" s="322">
        <v>998985</v>
      </c>
      <c r="AE101" s="323">
        <f t="shared" si="26"/>
        <v>2192449</v>
      </c>
      <c r="AF101" s="638">
        <f t="shared" si="38"/>
        <v>0</v>
      </c>
      <c r="AG101" s="639" t="s">
        <v>949</v>
      </c>
      <c r="AH101" s="90">
        <f t="shared" si="27"/>
        <v>2436.0544444444445</v>
      </c>
      <c r="AI101" s="80">
        <f t="shared" si="28"/>
        <v>2158149</v>
      </c>
      <c r="AJ101" s="638">
        <f t="shared" si="39"/>
        <v>2158149</v>
      </c>
      <c r="AK101" s="322">
        <v>0</v>
      </c>
      <c r="AL101" s="80">
        <f t="shared" si="29"/>
        <v>2397.9433333333332</v>
      </c>
      <c r="AM101" s="79"/>
      <c r="AN101" s="322"/>
      <c r="AO101" s="79"/>
      <c r="AP101" s="322"/>
      <c r="AQ101" s="79"/>
      <c r="AR101" s="322"/>
      <c r="AS101" s="79"/>
      <c r="AT101" s="322"/>
      <c r="AU101" s="325">
        <f t="shared" si="30"/>
        <v>0</v>
      </c>
      <c r="AV101" s="90">
        <f t="shared" si="42"/>
        <v>0</v>
      </c>
      <c r="AW101" s="324">
        <f t="shared" si="32"/>
        <v>0</v>
      </c>
      <c r="AX101" s="80">
        <f t="shared" si="43"/>
        <v>0</v>
      </c>
      <c r="AY101" s="326">
        <f t="shared" si="34"/>
        <v>17050.087777777779</v>
      </c>
      <c r="AZ101" s="80">
        <f t="shared" si="35"/>
        <v>17891.076666666668</v>
      </c>
    </row>
    <row r="102" spans="1:52">
      <c r="A102" s="179" t="s">
        <v>712</v>
      </c>
      <c r="B102" s="201" t="s">
        <v>158</v>
      </c>
      <c r="C102" s="202">
        <v>134608</v>
      </c>
      <c r="D102" s="181">
        <v>8</v>
      </c>
      <c r="E102" s="162" t="s">
        <v>442</v>
      </c>
      <c r="F102" s="163" t="s">
        <v>442</v>
      </c>
      <c r="G102" s="79"/>
      <c r="H102" s="322"/>
      <c r="I102" s="79">
        <v>93140</v>
      </c>
      <c r="J102" s="322">
        <v>102345</v>
      </c>
      <c r="K102" s="79">
        <v>45307</v>
      </c>
      <c r="L102" s="322">
        <v>52438</v>
      </c>
      <c r="M102" s="79">
        <v>106882</v>
      </c>
      <c r="N102" s="322">
        <v>115550</v>
      </c>
      <c r="O102" s="323">
        <f t="shared" si="22"/>
        <v>245329</v>
      </c>
      <c r="P102" s="638">
        <f t="shared" si="36"/>
        <v>0</v>
      </c>
      <c r="Q102" s="639" t="s">
        <v>949</v>
      </c>
      <c r="R102" s="90">
        <f t="shared" si="40"/>
        <v>8177.6333333333332</v>
      </c>
      <c r="S102" s="324">
        <f t="shared" si="24"/>
        <v>270333</v>
      </c>
      <c r="T102" s="638">
        <f t="shared" si="37"/>
        <v>270333</v>
      </c>
      <c r="U102" s="322">
        <v>21351</v>
      </c>
      <c r="V102" s="80">
        <f t="shared" si="41"/>
        <v>9011.1</v>
      </c>
      <c r="W102" s="79"/>
      <c r="X102" s="322"/>
      <c r="Y102" s="79">
        <v>1176844</v>
      </c>
      <c r="Z102" s="322">
        <v>1186062</v>
      </c>
      <c r="AA102" s="79">
        <v>894355</v>
      </c>
      <c r="AB102" s="322">
        <v>887799</v>
      </c>
      <c r="AC102" s="79">
        <v>1255625</v>
      </c>
      <c r="AD102" s="322">
        <v>1107926</v>
      </c>
      <c r="AE102" s="323">
        <f t="shared" si="26"/>
        <v>3326824</v>
      </c>
      <c r="AF102" s="638">
        <f t="shared" si="38"/>
        <v>0</v>
      </c>
      <c r="AG102" s="639" t="s">
        <v>949</v>
      </c>
      <c r="AH102" s="90">
        <f t="shared" si="27"/>
        <v>3696.471111111111</v>
      </c>
      <c r="AI102" s="80">
        <f t="shared" si="28"/>
        <v>3181787</v>
      </c>
      <c r="AJ102" s="638">
        <f t="shared" si="39"/>
        <v>3181787</v>
      </c>
      <c r="AK102" s="322">
        <v>44814</v>
      </c>
      <c r="AL102" s="80">
        <f t="shared" si="29"/>
        <v>3535.318888888889</v>
      </c>
      <c r="AM102" s="79"/>
      <c r="AN102" s="322"/>
      <c r="AO102" s="79"/>
      <c r="AP102" s="322"/>
      <c r="AQ102" s="79"/>
      <c r="AR102" s="322"/>
      <c r="AS102" s="79"/>
      <c r="AT102" s="322"/>
      <c r="AU102" s="325">
        <f t="shared" si="30"/>
        <v>0</v>
      </c>
      <c r="AV102" s="90">
        <f t="shared" si="42"/>
        <v>0</v>
      </c>
      <c r="AW102" s="324">
        <f t="shared" si="32"/>
        <v>0</v>
      </c>
      <c r="AX102" s="80">
        <f t="shared" si="43"/>
        <v>0</v>
      </c>
      <c r="AY102" s="326">
        <f t="shared" si="34"/>
        <v>11874.104444444445</v>
      </c>
      <c r="AZ102" s="80">
        <f t="shared" si="35"/>
        <v>12546.418888888889</v>
      </c>
    </row>
    <row r="103" spans="1:52">
      <c r="A103" s="179" t="s">
        <v>712</v>
      </c>
      <c r="B103" s="201" t="s">
        <v>161</v>
      </c>
      <c r="C103" s="202">
        <v>135391</v>
      </c>
      <c r="D103" s="182">
        <v>8</v>
      </c>
      <c r="E103" s="162" t="s">
        <v>442</v>
      </c>
      <c r="F103" s="163" t="s">
        <v>442</v>
      </c>
      <c r="G103" s="79"/>
      <c r="H103" s="322"/>
      <c r="I103" s="79">
        <v>86638</v>
      </c>
      <c r="J103" s="322">
        <v>96769</v>
      </c>
      <c r="K103" s="79">
        <v>31306</v>
      </c>
      <c r="L103" s="322">
        <v>35429</v>
      </c>
      <c r="M103" s="79">
        <v>98837</v>
      </c>
      <c r="N103" s="322">
        <v>109207</v>
      </c>
      <c r="O103" s="323">
        <f t="shared" si="22"/>
        <v>216781</v>
      </c>
      <c r="P103" s="638">
        <f t="shared" si="36"/>
        <v>0</v>
      </c>
      <c r="Q103" s="639" t="s">
        <v>949</v>
      </c>
      <c r="R103" s="90">
        <f t="shared" si="40"/>
        <v>7226.0333333333338</v>
      </c>
      <c r="S103" s="324">
        <f t="shared" si="24"/>
        <v>241405</v>
      </c>
      <c r="T103" s="638">
        <f t="shared" si="37"/>
        <v>241405</v>
      </c>
      <c r="U103" s="322">
        <v>11782</v>
      </c>
      <c r="V103" s="80">
        <f t="shared" si="41"/>
        <v>8046.833333333333</v>
      </c>
      <c r="W103" s="79"/>
      <c r="X103" s="322"/>
      <c r="Y103" s="79">
        <v>64094</v>
      </c>
      <c r="Z103" s="322">
        <v>58856</v>
      </c>
      <c r="AA103" s="79">
        <v>51933</v>
      </c>
      <c r="AB103" s="322">
        <v>67213</v>
      </c>
      <c r="AC103" s="79">
        <v>52183</v>
      </c>
      <c r="AD103" s="322">
        <v>50870</v>
      </c>
      <c r="AE103" s="323">
        <f t="shared" si="26"/>
        <v>168210</v>
      </c>
      <c r="AF103" s="638">
        <f t="shared" si="38"/>
        <v>0</v>
      </c>
      <c r="AG103" s="639" t="s">
        <v>949</v>
      </c>
      <c r="AH103" s="90">
        <f t="shared" si="27"/>
        <v>186.9</v>
      </c>
      <c r="AI103" s="80">
        <f t="shared" si="28"/>
        <v>176939</v>
      </c>
      <c r="AJ103" s="638">
        <f t="shared" si="39"/>
        <v>176939</v>
      </c>
      <c r="AK103" s="322">
        <v>0</v>
      </c>
      <c r="AL103" s="80">
        <f t="shared" si="29"/>
        <v>196.59888888888889</v>
      </c>
      <c r="AM103" s="79"/>
      <c r="AN103" s="322"/>
      <c r="AO103" s="79"/>
      <c r="AP103" s="322"/>
      <c r="AQ103" s="79"/>
      <c r="AR103" s="322"/>
      <c r="AS103" s="79"/>
      <c r="AT103" s="322"/>
      <c r="AU103" s="325">
        <f t="shared" si="30"/>
        <v>0</v>
      </c>
      <c r="AV103" s="90">
        <f t="shared" si="42"/>
        <v>0</v>
      </c>
      <c r="AW103" s="324">
        <f t="shared" si="32"/>
        <v>0</v>
      </c>
      <c r="AX103" s="80">
        <f t="shared" si="43"/>
        <v>0</v>
      </c>
      <c r="AY103" s="326">
        <f t="shared" si="34"/>
        <v>7412.9333333333334</v>
      </c>
      <c r="AZ103" s="80">
        <f t="shared" si="35"/>
        <v>8243.4322222222218</v>
      </c>
    </row>
    <row r="104" spans="1:52">
      <c r="A104" s="179" t="s">
        <v>712</v>
      </c>
      <c r="B104" s="203" t="s">
        <v>164</v>
      </c>
      <c r="C104" s="221">
        <v>136358</v>
      </c>
      <c r="D104" s="344">
        <v>8</v>
      </c>
      <c r="E104" s="162" t="s">
        <v>442</v>
      </c>
      <c r="F104" s="163" t="s">
        <v>442</v>
      </c>
      <c r="G104" s="79"/>
      <c r="H104" s="322"/>
      <c r="I104" s="79">
        <v>156377</v>
      </c>
      <c r="J104" s="322">
        <v>172359</v>
      </c>
      <c r="K104" s="79">
        <v>66675</v>
      </c>
      <c r="L104" s="322">
        <v>77001</v>
      </c>
      <c r="M104" s="79">
        <v>179785</v>
      </c>
      <c r="N104" s="322">
        <v>202507</v>
      </c>
      <c r="O104" s="323">
        <f t="shared" si="22"/>
        <v>402837</v>
      </c>
      <c r="P104" s="638">
        <f t="shared" si="36"/>
        <v>0</v>
      </c>
      <c r="Q104" s="639" t="s">
        <v>949</v>
      </c>
      <c r="R104" s="90">
        <f t="shared" si="40"/>
        <v>13427.9</v>
      </c>
      <c r="S104" s="324">
        <f t="shared" si="24"/>
        <v>451867</v>
      </c>
      <c r="T104" s="638">
        <f t="shared" si="37"/>
        <v>451867</v>
      </c>
      <c r="U104" s="322">
        <v>10397</v>
      </c>
      <c r="V104" s="80">
        <f t="shared" si="41"/>
        <v>15062.233333333334</v>
      </c>
      <c r="W104" s="79"/>
      <c r="X104" s="322"/>
      <c r="Y104" s="79">
        <v>1131100</v>
      </c>
      <c r="Z104" s="322">
        <v>960460</v>
      </c>
      <c r="AA104" s="79">
        <v>561057</v>
      </c>
      <c r="AB104" s="322">
        <v>582060</v>
      </c>
      <c r="AC104" s="79">
        <v>936356</v>
      </c>
      <c r="AD104" s="322">
        <v>884467</v>
      </c>
      <c r="AE104" s="323">
        <f t="shared" si="26"/>
        <v>2628513</v>
      </c>
      <c r="AF104" s="638">
        <f t="shared" si="38"/>
        <v>0</v>
      </c>
      <c r="AG104" s="639" t="s">
        <v>949</v>
      </c>
      <c r="AH104" s="90">
        <f t="shared" si="27"/>
        <v>2920.57</v>
      </c>
      <c r="AI104" s="80">
        <f t="shared" si="28"/>
        <v>2426987</v>
      </c>
      <c r="AJ104" s="638">
        <f t="shared" si="39"/>
        <v>2426987</v>
      </c>
      <c r="AK104" s="322">
        <v>274</v>
      </c>
      <c r="AL104" s="80">
        <f t="shared" si="29"/>
        <v>2696.652222222222</v>
      </c>
      <c r="AM104" s="79"/>
      <c r="AN104" s="322"/>
      <c r="AO104" s="79"/>
      <c r="AP104" s="322"/>
      <c r="AQ104" s="79"/>
      <c r="AR104" s="322"/>
      <c r="AS104" s="79"/>
      <c r="AT104" s="322"/>
      <c r="AU104" s="325">
        <f t="shared" si="30"/>
        <v>0</v>
      </c>
      <c r="AV104" s="90">
        <f t="shared" si="42"/>
        <v>0</v>
      </c>
      <c r="AW104" s="324">
        <f t="shared" si="32"/>
        <v>0</v>
      </c>
      <c r="AX104" s="80">
        <f t="shared" si="43"/>
        <v>0</v>
      </c>
      <c r="AY104" s="326">
        <f t="shared" si="34"/>
        <v>16348.47</v>
      </c>
      <c r="AZ104" s="80">
        <f t="shared" si="35"/>
        <v>17758.885555555556</v>
      </c>
    </row>
    <row r="105" spans="1:52">
      <c r="A105" s="179" t="s">
        <v>712</v>
      </c>
      <c r="B105" s="371" t="s">
        <v>165</v>
      </c>
      <c r="C105" s="372">
        <v>136400</v>
      </c>
      <c r="D105" s="373">
        <v>8</v>
      </c>
      <c r="E105" s="162" t="s">
        <v>442</v>
      </c>
      <c r="F105" s="163" t="s">
        <v>442</v>
      </c>
      <c r="G105" s="79"/>
      <c r="H105" s="322"/>
      <c r="I105" s="79">
        <v>60244</v>
      </c>
      <c r="J105" s="322">
        <v>66278</v>
      </c>
      <c r="K105" s="79">
        <v>18469</v>
      </c>
      <c r="L105" s="322">
        <v>20786</v>
      </c>
      <c r="M105" s="79">
        <v>68806</v>
      </c>
      <c r="N105" s="322">
        <v>74361</v>
      </c>
      <c r="O105" s="323">
        <f t="shared" si="22"/>
        <v>147519</v>
      </c>
      <c r="P105" s="638">
        <f t="shared" si="36"/>
        <v>0</v>
      </c>
      <c r="Q105" s="639" t="s">
        <v>949</v>
      </c>
      <c r="R105" s="90">
        <f t="shared" si="40"/>
        <v>4917.3</v>
      </c>
      <c r="S105" s="324">
        <f t="shared" si="24"/>
        <v>161425</v>
      </c>
      <c r="T105" s="638">
        <f t="shared" si="37"/>
        <v>161425</v>
      </c>
      <c r="U105" s="322">
        <v>13905</v>
      </c>
      <c r="V105" s="80">
        <f t="shared" si="41"/>
        <v>5380.833333333333</v>
      </c>
      <c r="W105" s="79"/>
      <c r="X105" s="322"/>
      <c r="Y105" s="79">
        <v>160216</v>
      </c>
      <c r="Z105" s="322">
        <v>157103</v>
      </c>
      <c r="AA105" s="79">
        <v>85878</v>
      </c>
      <c r="AB105" s="322">
        <v>88947</v>
      </c>
      <c r="AC105" s="79">
        <v>166232</v>
      </c>
      <c r="AD105" s="322">
        <v>159128</v>
      </c>
      <c r="AE105" s="323">
        <f t="shared" si="26"/>
        <v>412326</v>
      </c>
      <c r="AF105" s="638">
        <f t="shared" si="38"/>
        <v>0</v>
      </c>
      <c r="AG105" s="639" t="s">
        <v>949</v>
      </c>
      <c r="AH105" s="90">
        <f t="shared" si="27"/>
        <v>458.14</v>
      </c>
      <c r="AI105" s="80">
        <f t="shared" si="28"/>
        <v>405178</v>
      </c>
      <c r="AJ105" s="638">
        <f t="shared" si="39"/>
        <v>405178</v>
      </c>
      <c r="AK105" s="322">
        <v>4700</v>
      </c>
      <c r="AL105" s="80">
        <f t="shared" si="29"/>
        <v>450.19777777777779</v>
      </c>
      <c r="AM105" s="79"/>
      <c r="AN105" s="322"/>
      <c r="AO105" s="79"/>
      <c r="AP105" s="322"/>
      <c r="AQ105" s="79"/>
      <c r="AR105" s="322"/>
      <c r="AS105" s="79"/>
      <c r="AT105" s="322"/>
      <c r="AU105" s="325">
        <f t="shared" si="30"/>
        <v>0</v>
      </c>
      <c r="AV105" s="90">
        <f t="shared" si="42"/>
        <v>0</v>
      </c>
      <c r="AW105" s="324">
        <f t="shared" si="32"/>
        <v>0</v>
      </c>
      <c r="AX105" s="80">
        <f t="shared" si="43"/>
        <v>0</v>
      </c>
      <c r="AY105" s="326">
        <f t="shared" si="34"/>
        <v>5375.4400000000005</v>
      </c>
      <c r="AZ105" s="80">
        <f t="shared" si="35"/>
        <v>5831.0311111111105</v>
      </c>
    </row>
    <row r="106" spans="1:52">
      <c r="A106" s="179" t="s">
        <v>712</v>
      </c>
      <c r="B106" s="201" t="s">
        <v>166</v>
      </c>
      <c r="C106" s="202">
        <v>136473</v>
      </c>
      <c r="D106" s="182">
        <v>8</v>
      </c>
      <c r="E106" s="162" t="s">
        <v>442</v>
      </c>
      <c r="F106" s="163" t="s">
        <v>442</v>
      </c>
      <c r="G106" s="79"/>
      <c r="H106" s="322"/>
      <c r="I106" s="79">
        <v>85876</v>
      </c>
      <c r="J106" s="322">
        <v>91540</v>
      </c>
      <c r="K106" s="79">
        <v>32973</v>
      </c>
      <c r="L106" s="322">
        <v>34536</v>
      </c>
      <c r="M106" s="79">
        <v>93910</v>
      </c>
      <c r="N106" s="322">
        <v>94363</v>
      </c>
      <c r="O106" s="323">
        <f t="shared" si="22"/>
        <v>212759</v>
      </c>
      <c r="P106" s="638">
        <f t="shared" si="36"/>
        <v>0</v>
      </c>
      <c r="Q106" s="639" t="s">
        <v>949</v>
      </c>
      <c r="R106" s="90">
        <f t="shared" si="40"/>
        <v>7091.9666666666662</v>
      </c>
      <c r="S106" s="324">
        <f t="shared" si="24"/>
        <v>220439</v>
      </c>
      <c r="T106" s="638">
        <f t="shared" si="37"/>
        <v>220439</v>
      </c>
      <c r="U106" s="322">
        <v>25151</v>
      </c>
      <c r="V106" s="80">
        <f t="shared" si="41"/>
        <v>7347.9666666666662</v>
      </c>
      <c r="W106" s="79"/>
      <c r="X106" s="322"/>
      <c r="Y106" s="79">
        <v>366256</v>
      </c>
      <c r="Z106" s="322">
        <v>401564</v>
      </c>
      <c r="AA106" s="79">
        <v>236255</v>
      </c>
      <c r="AB106" s="322">
        <v>265990</v>
      </c>
      <c r="AC106" s="79">
        <v>399499</v>
      </c>
      <c r="AD106" s="322">
        <v>463155</v>
      </c>
      <c r="AE106" s="323">
        <f t="shared" si="26"/>
        <v>1002010</v>
      </c>
      <c r="AF106" s="638">
        <f t="shared" si="38"/>
        <v>0</v>
      </c>
      <c r="AG106" s="639" t="s">
        <v>949</v>
      </c>
      <c r="AH106" s="90">
        <f t="shared" si="27"/>
        <v>1113.3444444444444</v>
      </c>
      <c r="AI106" s="80">
        <f t="shared" si="28"/>
        <v>1130709</v>
      </c>
      <c r="AJ106" s="638">
        <f t="shared" si="39"/>
        <v>1130709</v>
      </c>
      <c r="AK106" s="322">
        <v>2640</v>
      </c>
      <c r="AL106" s="80">
        <f t="shared" si="29"/>
        <v>1256.3433333333332</v>
      </c>
      <c r="AM106" s="79"/>
      <c r="AN106" s="322"/>
      <c r="AO106" s="79"/>
      <c r="AP106" s="322"/>
      <c r="AQ106" s="79"/>
      <c r="AR106" s="322"/>
      <c r="AS106" s="79"/>
      <c r="AT106" s="322"/>
      <c r="AU106" s="325">
        <f t="shared" si="30"/>
        <v>0</v>
      </c>
      <c r="AV106" s="90">
        <f t="shared" si="42"/>
        <v>0</v>
      </c>
      <c r="AW106" s="324">
        <f t="shared" si="32"/>
        <v>0</v>
      </c>
      <c r="AX106" s="80">
        <f t="shared" si="43"/>
        <v>0</v>
      </c>
      <c r="AY106" s="326">
        <f t="shared" si="34"/>
        <v>8205.3111111111102</v>
      </c>
      <c r="AZ106" s="80">
        <f t="shared" si="35"/>
        <v>8604.31</v>
      </c>
    </row>
    <row r="107" spans="1:52">
      <c r="A107" s="179" t="s">
        <v>712</v>
      </c>
      <c r="B107" s="201" t="s">
        <v>170</v>
      </c>
      <c r="C107" s="202">
        <v>137096</v>
      </c>
      <c r="D107" s="181">
        <v>8</v>
      </c>
      <c r="E107" s="162" t="s">
        <v>442</v>
      </c>
      <c r="F107" s="163" t="s">
        <v>442</v>
      </c>
      <c r="G107" s="79"/>
      <c r="H107" s="322"/>
      <c r="I107" s="79">
        <v>130849</v>
      </c>
      <c r="J107" s="322">
        <v>139690</v>
      </c>
      <c r="K107" s="79">
        <v>55092</v>
      </c>
      <c r="L107" s="322">
        <v>57454</v>
      </c>
      <c r="M107" s="79">
        <v>147209</v>
      </c>
      <c r="N107" s="322">
        <v>146574</v>
      </c>
      <c r="O107" s="323">
        <f t="shared" si="22"/>
        <v>333150</v>
      </c>
      <c r="P107" s="638">
        <f t="shared" si="36"/>
        <v>0</v>
      </c>
      <c r="Q107" s="639" t="s">
        <v>949</v>
      </c>
      <c r="R107" s="90">
        <f t="shared" si="40"/>
        <v>11105</v>
      </c>
      <c r="S107" s="324">
        <f t="shared" si="24"/>
        <v>343718</v>
      </c>
      <c r="T107" s="638">
        <f t="shared" si="37"/>
        <v>343718</v>
      </c>
      <c r="U107" s="322">
        <v>11616</v>
      </c>
      <c r="V107" s="80">
        <f t="shared" si="41"/>
        <v>11457.266666666666</v>
      </c>
      <c r="W107" s="79"/>
      <c r="X107" s="322"/>
      <c r="Y107" s="79">
        <v>241689</v>
      </c>
      <c r="Z107" s="322">
        <v>61518</v>
      </c>
      <c r="AA107" s="79">
        <v>179176</v>
      </c>
      <c r="AB107" s="322">
        <v>166674</v>
      </c>
      <c r="AC107" s="79">
        <v>279336</v>
      </c>
      <c r="AD107" s="322">
        <v>276021</v>
      </c>
      <c r="AE107" s="323">
        <f t="shared" si="26"/>
        <v>700201</v>
      </c>
      <c r="AF107" s="638">
        <f t="shared" si="38"/>
        <v>0</v>
      </c>
      <c r="AG107" s="639" t="s">
        <v>949</v>
      </c>
      <c r="AH107" s="90">
        <f t="shared" si="27"/>
        <v>778.00111111111107</v>
      </c>
      <c r="AI107" s="80">
        <f t="shared" si="28"/>
        <v>504213</v>
      </c>
      <c r="AJ107" s="638">
        <f t="shared" si="39"/>
        <v>504213</v>
      </c>
      <c r="AK107" s="322">
        <v>2726</v>
      </c>
      <c r="AL107" s="80">
        <f t="shared" si="29"/>
        <v>560.23666666666668</v>
      </c>
      <c r="AM107" s="79"/>
      <c r="AN107" s="322"/>
      <c r="AO107" s="79"/>
      <c r="AP107" s="322"/>
      <c r="AQ107" s="79"/>
      <c r="AR107" s="322"/>
      <c r="AS107" s="79"/>
      <c r="AT107" s="322"/>
      <c r="AU107" s="325">
        <f t="shared" si="30"/>
        <v>0</v>
      </c>
      <c r="AV107" s="90">
        <f t="shared" si="42"/>
        <v>0</v>
      </c>
      <c r="AW107" s="324">
        <f t="shared" si="32"/>
        <v>0</v>
      </c>
      <c r="AX107" s="80">
        <f t="shared" si="43"/>
        <v>0</v>
      </c>
      <c r="AY107" s="326">
        <f t="shared" si="34"/>
        <v>11883.001111111111</v>
      </c>
      <c r="AZ107" s="80">
        <f t="shared" si="35"/>
        <v>12017.503333333334</v>
      </c>
    </row>
    <row r="108" spans="1:52">
      <c r="A108" s="179" t="s">
        <v>712</v>
      </c>
      <c r="B108" s="201" t="s">
        <v>171</v>
      </c>
      <c r="C108" s="202">
        <v>137209</v>
      </c>
      <c r="D108" s="181">
        <v>8</v>
      </c>
      <c r="E108" s="162" t="s">
        <v>442</v>
      </c>
      <c r="F108" s="163" t="s">
        <v>442</v>
      </c>
      <c r="G108" s="79"/>
      <c r="H108" s="322"/>
      <c r="I108" s="79">
        <v>93204</v>
      </c>
      <c r="J108" s="322">
        <v>103483</v>
      </c>
      <c r="K108" s="79">
        <v>39908</v>
      </c>
      <c r="L108" s="322">
        <v>46304</v>
      </c>
      <c r="M108" s="79">
        <v>107231</v>
      </c>
      <c r="N108" s="322">
        <v>122395</v>
      </c>
      <c r="O108" s="323">
        <f t="shared" si="22"/>
        <v>240343</v>
      </c>
      <c r="P108" s="638">
        <f t="shared" si="36"/>
        <v>0</v>
      </c>
      <c r="Q108" s="639" t="s">
        <v>949</v>
      </c>
      <c r="R108" s="90">
        <f t="shared" si="40"/>
        <v>8011.4333333333334</v>
      </c>
      <c r="S108" s="324">
        <f t="shared" si="24"/>
        <v>272182</v>
      </c>
      <c r="T108" s="638">
        <f t="shared" si="37"/>
        <v>272182</v>
      </c>
      <c r="U108" s="322">
        <v>4876</v>
      </c>
      <c r="V108" s="80">
        <f t="shared" si="41"/>
        <v>9072.7333333333336</v>
      </c>
      <c r="W108" s="79"/>
      <c r="X108" s="322"/>
      <c r="Y108" s="79">
        <v>780608</v>
      </c>
      <c r="Z108" s="322">
        <v>826727</v>
      </c>
      <c r="AA108" s="79">
        <v>522615</v>
      </c>
      <c r="AB108" s="322">
        <v>554733</v>
      </c>
      <c r="AC108" s="79">
        <v>815146</v>
      </c>
      <c r="AD108" s="322">
        <v>778892</v>
      </c>
      <c r="AE108" s="323">
        <f t="shared" si="26"/>
        <v>2118369</v>
      </c>
      <c r="AF108" s="638">
        <f t="shared" si="38"/>
        <v>0</v>
      </c>
      <c r="AG108" s="639" t="s">
        <v>949</v>
      </c>
      <c r="AH108" s="90">
        <f t="shared" si="27"/>
        <v>2353.7433333333333</v>
      </c>
      <c r="AI108" s="80">
        <f t="shared" si="28"/>
        <v>2160352</v>
      </c>
      <c r="AJ108" s="638">
        <f t="shared" si="39"/>
        <v>2160352</v>
      </c>
      <c r="AK108" s="322">
        <v>20469</v>
      </c>
      <c r="AL108" s="80">
        <f t="shared" si="29"/>
        <v>2400.3911111111111</v>
      </c>
      <c r="AM108" s="79"/>
      <c r="AN108" s="322"/>
      <c r="AO108" s="79"/>
      <c r="AP108" s="322"/>
      <c r="AQ108" s="79"/>
      <c r="AR108" s="322"/>
      <c r="AS108" s="79"/>
      <c r="AT108" s="322"/>
      <c r="AU108" s="325">
        <f t="shared" si="30"/>
        <v>0</v>
      </c>
      <c r="AV108" s="90">
        <f t="shared" si="42"/>
        <v>0</v>
      </c>
      <c r="AW108" s="324">
        <f t="shared" si="32"/>
        <v>0</v>
      </c>
      <c r="AX108" s="80">
        <f t="shared" si="43"/>
        <v>0</v>
      </c>
      <c r="AY108" s="326">
        <f t="shared" si="34"/>
        <v>10365.176666666666</v>
      </c>
      <c r="AZ108" s="80">
        <f t="shared" si="35"/>
        <v>11473.124444444446</v>
      </c>
    </row>
    <row r="109" spans="1:52">
      <c r="A109" s="179" t="s">
        <v>712</v>
      </c>
      <c r="B109" s="201" t="s">
        <v>173</v>
      </c>
      <c r="C109" s="202">
        <v>137759</v>
      </c>
      <c r="D109" s="181">
        <v>8</v>
      </c>
      <c r="E109" s="162" t="s">
        <v>442</v>
      </c>
      <c r="F109" s="163" t="s">
        <v>442</v>
      </c>
      <c r="G109" s="79"/>
      <c r="H109" s="322"/>
      <c r="I109" s="79">
        <v>119831</v>
      </c>
      <c r="J109" s="322">
        <v>120032</v>
      </c>
      <c r="K109" s="79">
        <v>52232</v>
      </c>
      <c r="L109" s="322">
        <v>53130</v>
      </c>
      <c r="M109" s="79">
        <v>131808</v>
      </c>
      <c r="N109" s="322">
        <v>135412</v>
      </c>
      <c r="O109" s="323">
        <f t="shared" si="22"/>
        <v>303871</v>
      </c>
      <c r="P109" s="638">
        <f t="shared" si="36"/>
        <v>0</v>
      </c>
      <c r="Q109" s="639" t="s">
        <v>949</v>
      </c>
      <c r="R109" s="90">
        <f t="shared" si="40"/>
        <v>10129.033333333333</v>
      </c>
      <c r="S109" s="324">
        <f t="shared" si="24"/>
        <v>308574</v>
      </c>
      <c r="T109" s="638">
        <f t="shared" si="37"/>
        <v>308574</v>
      </c>
      <c r="U109" s="322">
        <v>8713</v>
      </c>
      <c r="V109" s="80">
        <f t="shared" si="41"/>
        <v>10285.799999999999</v>
      </c>
      <c r="W109" s="79"/>
      <c r="X109" s="322"/>
      <c r="Y109" s="79">
        <v>432280</v>
      </c>
      <c r="Z109" s="322">
        <v>536091</v>
      </c>
      <c r="AA109" s="79">
        <v>594919</v>
      </c>
      <c r="AB109" s="322">
        <v>335499</v>
      </c>
      <c r="AC109" s="79">
        <v>480111</v>
      </c>
      <c r="AD109" s="322">
        <v>545793</v>
      </c>
      <c r="AE109" s="323">
        <f t="shared" si="26"/>
        <v>1507310</v>
      </c>
      <c r="AF109" s="638">
        <f t="shared" si="38"/>
        <v>0</v>
      </c>
      <c r="AG109" s="639" t="s">
        <v>949</v>
      </c>
      <c r="AH109" s="90">
        <f t="shared" si="27"/>
        <v>1674.7888888888888</v>
      </c>
      <c r="AI109" s="80">
        <f t="shared" si="28"/>
        <v>1417383</v>
      </c>
      <c r="AJ109" s="638">
        <f t="shared" si="39"/>
        <v>1417383</v>
      </c>
      <c r="AK109" s="322">
        <v>12696</v>
      </c>
      <c r="AL109" s="80">
        <f t="shared" si="29"/>
        <v>1574.87</v>
      </c>
      <c r="AM109" s="79"/>
      <c r="AN109" s="322"/>
      <c r="AO109" s="79"/>
      <c r="AP109" s="322"/>
      <c r="AQ109" s="79"/>
      <c r="AR109" s="322"/>
      <c r="AS109" s="79"/>
      <c r="AT109" s="322"/>
      <c r="AU109" s="325">
        <f t="shared" si="30"/>
        <v>0</v>
      </c>
      <c r="AV109" s="90">
        <f t="shared" si="42"/>
        <v>0</v>
      </c>
      <c r="AW109" s="324">
        <f t="shared" si="32"/>
        <v>0</v>
      </c>
      <c r="AX109" s="80">
        <f t="shared" si="43"/>
        <v>0</v>
      </c>
      <c r="AY109" s="326">
        <f t="shared" si="34"/>
        <v>11803.822222222221</v>
      </c>
      <c r="AZ109" s="80">
        <f t="shared" si="35"/>
        <v>11860.669999999998</v>
      </c>
    </row>
    <row r="110" spans="1:52">
      <c r="A110" s="179" t="s">
        <v>712</v>
      </c>
      <c r="B110" s="201" t="s">
        <v>174</v>
      </c>
      <c r="C110" s="202">
        <v>138187</v>
      </c>
      <c r="D110" s="181">
        <v>8</v>
      </c>
      <c r="E110" s="162" t="s">
        <v>442</v>
      </c>
      <c r="F110" s="163" t="s">
        <v>442</v>
      </c>
      <c r="G110" s="79"/>
      <c r="H110" s="322"/>
      <c r="I110" s="79">
        <v>254190</v>
      </c>
      <c r="J110" s="322">
        <v>283518</v>
      </c>
      <c r="K110" s="79">
        <v>113654</v>
      </c>
      <c r="L110" s="322">
        <v>129718</v>
      </c>
      <c r="M110" s="79">
        <v>297462</v>
      </c>
      <c r="N110" s="322">
        <v>323992</v>
      </c>
      <c r="O110" s="323">
        <f t="shared" si="22"/>
        <v>665306</v>
      </c>
      <c r="P110" s="638">
        <f t="shared" si="36"/>
        <v>0</v>
      </c>
      <c r="Q110" s="639" t="s">
        <v>949</v>
      </c>
      <c r="R110" s="90">
        <f t="shared" si="40"/>
        <v>22176.866666666665</v>
      </c>
      <c r="S110" s="324">
        <f t="shared" si="24"/>
        <v>737228</v>
      </c>
      <c r="T110" s="638">
        <f t="shared" si="37"/>
        <v>737228</v>
      </c>
      <c r="U110" s="322">
        <v>25442</v>
      </c>
      <c r="V110" s="80">
        <f t="shared" si="41"/>
        <v>24574.266666666666</v>
      </c>
      <c r="W110" s="79"/>
      <c r="X110" s="322"/>
      <c r="Y110" s="79">
        <v>310139</v>
      </c>
      <c r="Z110" s="322">
        <v>306819</v>
      </c>
      <c r="AA110" s="79">
        <v>108268</v>
      </c>
      <c r="AB110" s="322">
        <v>139516</v>
      </c>
      <c r="AC110" s="79">
        <v>250104</v>
      </c>
      <c r="AD110" s="322">
        <v>228973</v>
      </c>
      <c r="AE110" s="323">
        <f t="shared" si="26"/>
        <v>668511</v>
      </c>
      <c r="AF110" s="638">
        <f t="shared" si="38"/>
        <v>0</v>
      </c>
      <c r="AG110" s="639" t="s">
        <v>949</v>
      </c>
      <c r="AH110" s="90">
        <f t="shared" si="27"/>
        <v>742.79</v>
      </c>
      <c r="AI110" s="80">
        <f t="shared" si="28"/>
        <v>675308</v>
      </c>
      <c r="AJ110" s="638">
        <f t="shared" si="39"/>
        <v>675308</v>
      </c>
      <c r="AK110" s="322">
        <v>0</v>
      </c>
      <c r="AL110" s="80">
        <f t="shared" si="29"/>
        <v>750.34222222222218</v>
      </c>
      <c r="AM110" s="79"/>
      <c r="AN110" s="322"/>
      <c r="AO110" s="79"/>
      <c r="AP110" s="322"/>
      <c r="AQ110" s="79"/>
      <c r="AR110" s="322"/>
      <c r="AS110" s="79"/>
      <c r="AT110" s="322"/>
      <c r="AU110" s="325">
        <f t="shared" si="30"/>
        <v>0</v>
      </c>
      <c r="AV110" s="90">
        <f t="shared" si="42"/>
        <v>0</v>
      </c>
      <c r="AW110" s="324">
        <f t="shared" si="32"/>
        <v>0</v>
      </c>
      <c r="AX110" s="80">
        <f t="shared" si="43"/>
        <v>0</v>
      </c>
      <c r="AY110" s="326">
        <f t="shared" si="34"/>
        <v>22919.656666666666</v>
      </c>
      <c r="AZ110" s="80">
        <f t="shared" si="35"/>
        <v>25324.608888888888</v>
      </c>
    </row>
    <row r="111" spans="1:52">
      <c r="A111" s="179" t="s">
        <v>712</v>
      </c>
      <c r="B111" s="201" t="s">
        <v>151</v>
      </c>
      <c r="C111" s="202">
        <v>132851</v>
      </c>
      <c r="D111" s="181">
        <v>9</v>
      </c>
      <c r="E111" s="162" t="s">
        <v>442</v>
      </c>
      <c r="F111" s="163" t="s">
        <v>442</v>
      </c>
      <c r="G111" s="79"/>
      <c r="H111" s="322"/>
      <c r="I111" s="79">
        <v>48396</v>
      </c>
      <c r="J111" s="322">
        <v>53276</v>
      </c>
      <c r="K111" s="79">
        <v>15804</v>
      </c>
      <c r="L111" s="322">
        <v>19721</v>
      </c>
      <c r="M111" s="79">
        <v>55494</v>
      </c>
      <c r="N111" s="322">
        <v>61720</v>
      </c>
      <c r="O111" s="323">
        <f t="shared" si="22"/>
        <v>119694</v>
      </c>
      <c r="P111" s="638">
        <f t="shared" si="36"/>
        <v>0</v>
      </c>
      <c r="Q111" s="639" t="s">
        <v>949</v>
      </c>
      <c r="R111" s="90">
        <f t="shared" si="40"/>
        <v>3989.8</v>
      </c>
      <c r="S111" s="324">
        <f t="shared" si="24"/>
        <v>134717</v>
      </c>
      <c r="T111" s="638">
        <f t="shared" si="37"/>
        <v>134717</v>
      </c>
      <c r="U111" s="322">
        <v>7298</v>
      </c>
      <c r="V111" s="80">
        <f t="shared" si="41"/>
        <v>4490.5666666666666</v>
      </c>
      <c r="W111" s="79"/>
      <c r="X111" s="322"/>
      <c r="Y111" s="79">
        <v>255414</v>
      </c>
      <c r="Z111" s="322">
        <v>264709</v>
      </c>
      <c r="AA111" s="79">
        <v>197834</v>
      </c>
      <c r="AB111" s="322">
        <v>175180</v>
      </c>
      <c r="AC111" s="79">
        <v>271182</v>
      </c>
      <c r="AD111" s="322">
        <v>232716</v>
      </c>
      <c r="AE111" s="323">
        <f t="shared" si="26"/>
        <v>724430</v>
      </c>
      <c r="AF111" s="638">
        <f t="shared" si="38"/>
        <v>0</v>
      </c>
      <c r="AG111" s="639" t="s">
        <v>949</v>
      </c>
      <c r="AH111" s="90">
        <f t="shared" si="27"/>
        <v>804.92222222222222</v>
      </c>
      <c r="AI111" s="80">
        <f t="shared" si="28"/>
        <v>672605</v>
      </c>
      <c r="AJ111" s="638">
        <f t="shared" si="39"/>
        <v>672605</v>
      </c>
      <c r="AK111" s="322">
        <v>2190</v>
      </c>
      <c r="AL111" s="80">
        <f t="shared" si="29"/>
        <v>747.33888888888885</v>
      </c>
      <c r="AM111" s="79"/>
      <c r="AN111" s="322"/>
      <c r="AO111" s="79"/>
      <c r="AP111" s="322"/>
      <c r="AQ111" s="79"/>
      <c r="AR111" s="322"/>
      <c r="AS111" s="79"/>
      <c r="AT111" s="322"/>
      <c r="AU111" s="325">
        <f t="shared" si="30"/>
        <v>0</v>
      </c>
      <c r="AV111" s="90">
        <f t="shared" si="42"/>
        <v>0</v>
      </c>
      <c r="AW111" s="324">
        <f t="shared" si="32"/>
        <v>0</v>
      </c>
      <c r="AX111" s="80">
        <f t="shared" si="43"/>
        <v>0</v>
      </c>
      <c r="AY111" s="326">
        <f t="shared" si="34"/>
        <v>4794.7222222222226</v>
      </c>
      <c r="AZ111" s="80">
        <f t="shared" si="35"/>
        <v>5237.9055555555551</v>
      </c>
    </row>
    <row r="112" spans="1:52">
      <c r="A112" s="179" t="s">
        <v>712</v>
      </c>
      <c r="B112" s="201" t="s">
        <v>156</v>
      </c>
      <c r="C112" s="202">
        <v>134343</v>
      </c>
      <c r="D112" s="181">
        <v>9</v>
      </c>
      <c r="E112" s="162" t="s">
        <v>442</v>
      </c>
      <c r="F112" s="163" t="s">
        <v>442</v>
      </c>
      <c r="G112" s="79"/>
      <c r="H112" s="322"/>
      <c r="I112" s="79">
        <v>49270</v>
      </c>
      <c r="J112" s="322">
        <v>52275</v>
      </c>
      <c r="K112" s="79">
        <v>13801</v>
      </c>
      <c r="L112" s="322">
        <v>14613</v>
      </c>
      <c r="M112" s="79">
        <v>55604</v>
      </c>
      <c r="N112" s="322">
        <v>57368</v>
      </c>
      <c r="O112" s="323">
        <f t="shared" si="22"/>
        <v>118675</v>
      </c>
      <c r="P112" s="638">
        <f t="shared" si="36"/>
        <v>0</v>
      </c>
      <c r="Q112" s="639" t="s">
        <v>949</v>
      </c>
      <c r="R112" s="90">
        <f t="shared" si="40"/>
        <v>3955.8333333333335</v>
      </c>
      <c r="S112" s="324">
        <f t="shared" si="24"/>
        <v>124256</v>
      </c>
      <c r="T112" s="638">
        <f t="shared" si="37"/>
        <v>124256</v>
      </c>
      <c r="U112" s="322">
        <v>15020</v>
      </c>
      <c r="V112" s="80">
        <f t="shared" si="41"/>
        <v>4141.8666666666668</v>
      </c>
      <c r="W112" s="79"/>
      <c r="X112" s="322"/>
      <c r="Y112" s="79">
        <v>290326</v>
      </c>
      <c r="Z112" s="322">
        <v>266191</v>
      </c>
      <c r="AA112" s="79">
        <v>177277</v>
      </c>
      <c r="AB112" s="322">
        <v>140050</v>
      </c>
      <c r="AC112" s="79">
        <v>269783</v>
      </c>
      <c r="AD112" s="322">
        <v>225665</v>
      </c>
      <c r="AE112" s="323">
        <f t="shared" si="26"/>
        <v>737386</v>
      </c>
      <c r="AF112" s="638">
        <f t="shared" si="38"/>
        <v>0</v>
      </c>
      <c r="AG112" s="639" t="s">
        <v>949</v>
      </c>
      <c r="AH112" s="90">
        <f t="shared" si="27"/>
        <v>819.31777777777779</v>
      </c>
      <c r="AI112" s="80">
        <f t="shared" si="28"/>
        <v>631906</v>
      </c>
      <c r="AJ112" s="638">
        <f t="shared" si="39"/>
        <v>631906</v>
      </c>
      <c r="AK112" s="322">
        <v>0</v>
      </c>
      <c r="AL112" s="80">
        <f t="shared" si="29"/>
        <v>702.11777777777775</v>
      </c>
      <c r="AM112" s="79"/>
      <c r="AN112" s="322"/>
      <c r="AO112" s="79"/>
      <c r="AP112" s="322"/>
      <c r="AQ112" s="79"/>
      <c r="AR112" s="322"/>
      <c r="AS112" s="79"/>
      <c r="AT112" s="322"/>
      <c r="AU112" s="325">
        <f t="shared" si="30"/>
        <v>0</v>
      </c>
      <c r="AV112" s="90">
        <f t="shared" si="42"/>
        <v>0</v>
      </c>
      <c r="AW112" s="324">
        <f t="shared" si="32"/>
        <v>0</v>
      </c>
      <c r="AX112" s="80">
        <f t="shared" si="43"/>
        <v>0</v>
      </c>
      <c r="AY112" s="326">
        <f t="shared" si="34"/>
        <v>4775.1511111111113</v>
      </c>
      <c r="AZ112" s="80">
        <f t="shared" si="35"/>
        <v>4843.9844444444443</v>
      </c>
    </row>
    <row r="113" spans="1:52">
      <c r="A113" s="179" t="s">
        <v>712</v>
      </c>
      <c r="B113" s="201" t="s">
        <v>159</v>
      </c>
      <c r="C113" s="202">
        <v>135160</v>
      </c>
      <c r="D113" s="182">
        <v>9</v>
      </c>
      <c r="E113" s="162" t="s">
        <v>442</v>
      </c>
      <c r="F113" s="163" t="s">
        <v>442</v>
      </c>
      <c r="G113" s="79"/>
      <c r="H113" s="322"/>
      <c r="I113" s="79">
        <v>21425</v>
      </c>
      <c r="J113" s="322">
        <v>22720</v>
      </c>
      <c r="K113" s="79">
        <v>8263</v>
      </c>
      <c r="L113" s="322">
        <v>9003</v>
      </c>
      <c r="M113" s="79">
        <v>23745</v>
      </c>
      <c r="N113" s="322">
        <v>22676</v>
      </c>
      <c r="O113" s="323">
        <f t="shared" si="22"/>
        <v>53433</v>
      </c>
      <c r="P113" s="638">
        <f t="shared" si="36"/>
        <v>0</v>
      </c>
      <c r="Q113" s="639" t="s">
        <v>949</v>
      </c>
      <c r="R113" s="90">
        <f t="shared" si="40"/>
        <v>1781.1</v>
      </c>
      <c r="S113" s="324">
        <f t="shared" si="24"/>
        <v>54399</v>
      </c>
      <c r="T113" s="638">
        <f t="shared" si="37"/>
        <v>54399</v>
      </c>
      <c r="U113" s="322">
        <v>7403</v>
      </c>
      <c r="V113" s="80">
        <f t="shared" si="41"/>
        <v>1813.3</v>
      </c>
      <c r="W113" s="79"/>
      <c r="X113" s="322"/>
      <c r="Y113" s="79">
        <v>191382</v>
      </c>
      <c r="Z113" s="322">
        <v>94721</v>
      </c>
      <c r="AA113" s="79">
        <v>189975</v>
      </c>
      <c r="AB113" s="322">
        <v>76693</v>
      </c>
      <c r="AC113" s="79">
        <v>175738</v>
      </c>
      <c r="AD113" s="322">
        <v>84893</v>
      </c>
      <c r="AE113" s="323">
        <f t="shared" si="26"/>
        <v>557095</v>
      </c>
      <c r="AF113" s="638">
        <f t="shared" si="38"/>
        <v>0</v>
      </c>
      <c r="AG113" s="639" t="s">
        <v>949</v>
      </c>
      <c r="AH113" s="90">
        <f t="shared" si="27"/>
        <v>618.99444444444441</v>
      </c>
      <c r="AI113" s="80">
        <f t="shared" si="28"/>
        <v>256307</v>
      </c>
      <c r="AJ113" s="638">
        <f t="shared" si="39"/>
        <v>256307</v>
      </c>
      <c r="AK113" s="322">
        <v>630</v>
      </c>
      <c r="AL113" s="80">
        <f t="shared" si="29"/>
        <v>284.78555555555556</v>
      </c>
      <c r="AM113" s="79"/>
      <c r="AN113" s="322"/>
      <c r="AO113" s="79"/>
      <c r="AP113" s="322"/>
      <c r="AQ113" s="79"/>
      <c r="AR113" s="322"/>
      <c r="AS113" s="79"/>
      <c r="AT113" s="322"/>
      <c r="AU113" s="325">
        <f t="shared" si="30"/>
        <v>0</v>
      </c>
      <c r="AV113" s="90">
        <f t="shared" si="42"/>
        <v>0</v>
      </c>
      <c r="AW113" s="324">
        <f t="shared" si="32"/>
        <v>0</v>
      </c>
      <c r="AX113" s="80">
        <f t="shared" si="43"/>
        <v>0</v>
      </c>
      <c r="AY113" s="326">
        <f t="shared" si="34"/>
        <v>2400.0944444444444</v>
      </c>
      <c r="AZ113" s="80">
        <f t="shared" si="35"/>
        <v>2098.0855555555554</v>
      </c>
    </row>
    <row r="114" spans="1:52">
      <c r="A114" s="179" t="s">
        <v>712</v>
      </c>
      <c r="B114" s="201" t="s">
        <v>160</v>
      </c>
      <c r="C114" s="202">
        <v>135188</v>
      </c>
      <c r="D114" s="182">
        <v>9</v>
      </c>
      <c r="E114" s="162" t="s">
        <v>442</v>
      </c>
      <c r="F114" s="163" t="s">
        <v>442</v>
      </c>
      <c r="G114" s="79"/>
      <c r="H114" s="322"/>
      <c r="I114" s="79">
        <v>29613</v>
      </c>
      <c r="J114" s="322">
        <v>32433</v>
      </c>
      <c r="K114" s="79">
        <v>9681</v>
      </c>
      <c r="L114" s="322">
        <v>10603</v>
      </c>
      <c r="M114" s="79">
        <v>33930</v>
      </c>
      <c r="N114" s="322">
        <v>36336</v>
      </c>
      <c r="O114" s="323">
        <f t="shared" si="22"/>
        <v>73224</v>
      </c>
      <c r="P114" s="638">
        <f t="shared" si="36"/>
        <v>0</v>
      </c>
      <c r="Q114" s="639" t="s">
        <v>949</v>
      </c>
      <c r="R114" s="90">
        <f t="shared" si="40"/>
        <v>2440.8000000000002</v>
      </c>
      <c r="S114" s="324">
        <f t="shared" si="24"/>
        <v>79372</v>
      </c>
      <c r="T114" s="638">
        <f t="shared" si="37"/>
        <v>79372</v>
      </c>
      <c r="U114" s="322">
        <v>6832</v>
      </c>
      <c r="V114" s="80">
        <f t="shared" si="41"/>
        <v>2645.7333333333331</v>
      </c>
      <c r="W114" s="79"/>
      <c r="X114" s="322"/>
      <c r="Y114" s="79">
        <v>15479</v>
      </c>
      <c r="Z114" s="322">
        <v>19177</v>
      </c>
      <c r="AA114" s="79">
        <v>11092</v>
      </c>
      <c r="AB114" s="322">
        <v>18744</v>
      </c>
      <c r="AC114" s="79">
        <v>14051</v>
      </c>
      <c r="AD114" s="322">
        <v>27914</v>
      </c>
      <c r="AE114" s="323">
        <f t="shared" si="26"/>
        <v>40622</v>
      </c>
      <c r="AF114" s="638">
        <f t="shared" si="38"/>
        <v>0</v>
      </c>
      <c r="AG114" s="639" t="s">
        <v>949</v>
      </c>
      <c r="AH114" s="90">
        <f t="shared" si="27"/>
        <v>45.135555555555555</v>
      </c>
      <c r="AI114" s="80">
        <f t="shared" si="28"/>
        <v>65835</v>
      </c>
      <c r="AJ114" s="638">
        <f t="shared" si="39"/>
        <v>65835</v>
      </c>
      <c r="AK114" s="322">
        <v>0</v>
      </c>
      <c r="AL114" s="80">
        <f t="shared" si="29"/>
        <v>73.150000000000006</v>
      </c>
      <c r="AM114" s="79"/>
      <c r="AN114" s="322"/>
      <c r="AO114" s="79"/>
      <c r="AP114" s="322"/>
      <c r="AQ114" s="79"/>
      <c r="AR114" s="322"/>
      <c r="AS114" s="79"/>
      <c r="AT114" s="322"/>
      <c r="AU114" s="325">
        <f t="shared" si="30"/>
        <v>0</v>
      </c>
      <c r="AV114" s="90">
        <f t="shared" si="42"/>
        <v>0</v>
      </c>
      <c r="AW114" s="324">
        <f t="shared" si="32"/>
        <v>0</v>
      </c>
      <c r="AX114" s="80">
        <f t="shared" si="43"/>
        <v>0</v>
      </c>
      <c r="AY114" s="326">
        <f t="shared" si="34"/>
        <v>2485.9355555555558</v>
      </c>
      <c r="AZ114" s="80">
        <f t="shared" si="35"/>
        <v>2718.8833333333332</v>
      </c>
    </row>
    <row r="115" spans="1:52">
      <c r="A115" s="179" t="s">
        <v>712</v>
      </c>
      <c r="B115" s="201" t="s">
        <v>167</v>
      </c>
      <c r="C115" s="374">
        <v>136516</v>
      </c>
      <c r="D115" s="344">
        <v>9</v>
      </c>
      <c r="E115" s="162" t="s">
        <v>442</v>
      </c>
      <c r="F115" s="163" t="s">
        <v>442</v>
      </c>
      <c r="G115" s="79"/>
      <c r="H115" s="322"/>
      <c r="I115" s="79">
        <v>55901</v>
      </c>
      <c r="J115" s="322">
        <v>62691</v>
      </c>
      <c r="K115" s="79">
        <v>22589</v>
      </c>
      <c r="L115" s="322">
        <v>26582</v>
      </c>
      <c r="M115" s="79">
        <v>64860</v>
      </c>
      <c r="N115" s="322">
        <v>73173</v>
      </c>
      <c r="O115" s="323">
        <f t="shared" si="22"/>
        <v>143350</v>
      </c>
      <c r="P115" s="638">
        <f t="shared" si="36"/>
        <v>0</v>
      </c>
      <c r="Q115" s="639" t="s">
        <v>949</v>
      </c>
      <c r="R115" s="90">
        <f t="shared" si="40"/>
        <v>4778.333333333333</v>
      </c>
      <c r="S115" s="324">
        <f t="shared" si="24"/>
        <v>162446</v>
      </c>
      <c r="T115" s="638">
        <f t="shared" si="37"/>
        <v>162446</v>
      </c>
      <c r="U115" s="322">
        <v>13762</v>
      </c>
      <c r="V115" s="80">
        <f t="shared" si="41"/>
        <v>5414.8666666666668</v>
      </c>
      <c r="W115" s="79"/>
      <c r="X115" s="322"/>
      <c r="Y115" s="79">
        <v>126523</v>
      </c>
      <c r="Z115" s="322">
        <v>108646</v>
      </c>
      <c r="AA115" s="79">
        <v>96070</v>
      </c>
      <c r="AB115" s="322">
        <v>61594</v>
      </c>
      <c r="AC115" s="79">
        <v>75425</v>
      </c>
      <c r="AD115" s="322">
        <v>86814</v>
      </c>
      <c r="AE115" s="323">
        <f t="shared" si="26"/>
        <v>298018</v>
      </c>
      <c r="AF115" s="638">
        <f t="shared" si="38"/>
        <v>0</v>
      </c>
      <c r="AG115" s="639" t="s">
        <v>949</v>
      </c>
      <c r="AH115" s="90">
        <f t="shared" si="27"/>
        <v>331.13111111111112</v>
      </c>
      <c r="AI115" s="80">
        <f t="shared" si="28"/>
        <v>257054</v>
      </c>
      <c r="AJ115" s="638">
        <f t="shared" si="39"/>
        <v>257054</v>
      </c>
      <c r="AK115" s="322">
        <v>0</v>
      </c>
      <c r="AL115" s="80">
        <f t="shared" si="29"/>
        <v>285.61555555555555</v>
      </c>
      <c r="AM115" s="79"/>
      <c r="AN115" s="322"/>
      <c r="AO115" s="79"/>
      <c r="AP115" s="322"/>
      <c r="AQ115" s="79"/>
      <c r="AR115" s="322"/>
      <c r="AS115" s="79"/>
      <c r="AT115" s="322"/>
      <c r="AU115" s="325">
        <f t="shared" si="30"/>
        <v>0</v>
      </c>
      <c r="AV115" s="90">
        <f t="shared" si="42"/>
        <v>0</v>
      </c>
      <c r="AW115" s="324">
        <f t="shared" si="32"/>
        <v>0</v>
      </c>
      <c r="AX115" s="80">
        <f t="shared" si="43"/>
        <v>0</v>
      </c>
      <c r="AY115" s="326">
        <f t="shared" si="34"/>
        <v>5109.4644444444439</v>
      </c>
      <c r="AZ115" s="80">
        <f t="shared" si="35"/>
        <v>5700.4822222222219</v>
      </c>
    </row>
    <row r="116" spans="1:52">
      <c r="A116" s="179" t="s">
        <v>712</v>
      </c>
      <c r="B116" s="201" t="s">
        <v>172</v>
      </c>
      <c r="C116" s="202">
        <v>137315</v>
      </c>
      <c r="D116" s="181">
        <v>9</v>
      </c>
      <c r="E116" s="162" t="s">
        <v>442</v>
      </c>
      <c r="F116" s="163" t="s">
        <v>442</v>
      </c>
      <c r="G116" s="79"/>
      <c r="H116" s="322"/>
      <c r="I116" s="79">
        <v>15817</v>
      </c>
      <c r="J116" s="322">
        <v>17445</v>
      </c>
      <c r="K116" s="79">
        <v>4792</v>
      </c>
      <c r="L116" s="322">
        <v>5400</v>
      </c>
      <c r="M116" s="79">
        <v>18086</v>
      </c>
      <c r="N116" s="322">
        <v>19738</v>
      </c>
      <c r="O116" s="323">
        <f t="shared" si="22"/>
        <v>38695</v>
      </c>
      <c r="P116" s="638">
        <f t="shared" si="36"/>
        <v>0</v>
      </c>
      <c r="Q116" s="639" t="s">
        <v>949</v>
      </c>
      <c r="R116" s="90">
        <f t="shared" si="40"/>
        <v>1289.8333333333333</v>
      </c>
      <c r="S116" s="324">
        <f t="shared" si="24"/>
        <v>42583</v>
      </c>
      <c r="T116" s="638">
        <f t="shared" si="37"/>
        <v>42583</v>
      </c>
      <c r="U116" s="322">
        <v>5166</v>
      </c>
      <c r="V116" s="80">
        <f t="shared" si="41"/>
        <v>1419.4333333333334</v>
      </c>
      <c r="W116" s="79"/>
      <c r="X116" s="322"/>
      <c r="Y116" s="79">
        <v>385847</v>
      </c>
      <c r="Z116" s="322">
        <v>430118</v>
      </c>
      <c r="AA116" s="79">
        <v>234043</v>
      </c>
      <c r="AB116" s="322">
        <v>248597</v>
      </c>
      <c r="AC116" s="79">
        <v>479933</v>
      </c>
      <c r="AD116" s="322">
        <v>468793</v>
      </c>
      <c r="AE116" s="323">
        <f t="shared" si="26"/>
        <v>1099823</v>
      </c>
      <c r="AF116" s="638">
        <f t="shared" si="38"/>
        <v>0</v>
      </c>
      <c r="AG116" s="639" t="s">
        <v>949</v>
      </c>
      <c r="AH116" s="90">
        <f t="shared" si="27"/>
        <v>1222.0255555555555</v>
      </c>
      <c r="AI116" s="80">
        <f t="shared" si="28"/>
        <v>1147508</v>
      </c>
      <c r="AJ116" s="638">
        <f t="shared" si="39"/>
        <v>1147508</v>
      </c>
      <c r="AK116" s="322">
        <v>131644</v>
      </c>
      <c r="AL116" s="80">
        <f t="shared" si="29"/>
        <v>1275.0088888888888</v>
      </c>
      <c r="AM116" s="79"/>
      <c r="AN116" s="322"/>
      <c r="AO116" s="79"/>
      <c r="AP116" s="322"/>
      <c r="AQ116" s="79"/>
      <c r="AR116" s="322"/>
      <c r="AS116" s="79"/>
      <c r="AT116" s="322"/>
      <c r="AU116" s="325">
        <f t="shared" si="30"/>
        <v>0</v>
      </c>
      <c r="AV116" s="90">
        <f t="shared" si="42"/>
        <v>0</v>
      </c>
      <c r="AW116" s="324">
        <f t="shared" si="32"/>
        <v>0</v>
      </c>
      <c r="AX116" s="80">
        <f t="shared" si="43"/>
        <v>0</v>
      </c>
      <c r="AY116" s="326">
        <f t="shared" si="34"/>
        <v>2511.8588888888889</v>
      </c>
      <c r="AZ116" s="80">
        <f t="shared" si="35"/>
        <v>2694.442222222222</v>
      </c>
    </row>
    <row r="117" spans="1:52">
      <c r="A117" s="179" t="s">
        <v>712</v>
      </c>
      <c r="B117" s="201" t="s">
        <v>168</v>
      </c>
      <c r="C117" s="202">
        <v>137281</v>
      </c>
      <c r="D117" s="181">
        <v>9</v>
      </c>
      <c r="E117" s="162" t="s">
        <v>442</v>
      </c>
      <c r="F117" s="163" t="s">
        <v>442</v>
      </c>
      <c r="G117" s="79"/>
      <c r="H117" s="322"/>
      <c r="I117" s="79">
        <v>39458</v>
      </c>
      <c r="J117" s="322">
        <v>43468</v>
      </c>
      <c r="K117" s="79">
        <v>16660</v>
      </c>
      <c r="L117" s="322">
        <v>19427</v>
      </c>
      <c r="M117" s="79">
        <v>44183</v>
      </c>
      <c r="N117" s="322">
        <v>48449</v>
      </c>
      <c r="O117" s="323">
        <f t="shared" si="22"/>
        <v>100301</v>
      </c>
      <c r="P117" s="638">
        <f t="shared" si="36"/>
        <v>0</v>
      </c>
      <c r="Q117" s="639" t="s">
        <v>949</v>
      </c>
      <c r="R117" s="90">
        <f t="shared" si="40"/>
        <v>3343.3666666666668</v>
      </c>
      <c r="S117" s="324">
        <f t="shared" si="24"/>
        <v>111344</v>
      </c>
      <c r="T117" s="638">
        <f t="shared" si="37"/>
        <v>111344</v>
      </c>
      <c r="U117" s="322">
        <v>10096</v>
      </c>
      <c r="V117" s="80">
        <f t="shared" si="41"/>
        <v>3711.4666666666667</v>
      </c>
      <c r="W117" s="79"/>
      <c r="X117" s="322"/>
      <c r="Y117" s="79">
        <v>215914</v>
      </c>
      <c r="Z117" s="322">
        <v>221359</v>
      </c>
      <c r="AA117" s="79">
        <v>145527</v>
      </c>
      <c r="AB117" s="322">
        <v>135469</v>
      </c>
      <c r="AC117" s="79">
        <v>276313</v>
      </c>
      <c r="AD117" s="322">
        <v>243580</v>
      </c>
      <c r="AE117" s="323">
        <f t="shared" si="26"/>
        <v>637754</v>
      </c>
      <c r="AF117" s="638">
        <f t="shared" si="38"/>
        <v>0</v>
      </c>
      <c r="AG117" s="639" t="s">
        <v>949</v>
      </c>
      <c r="AH117" s="90">
        <f t="shared" si="27"/>
        <v>708.6155555555556</v>
      </c>
      <c r="AI117" s="80">
        <f t="shared" si="28"/>
        <v>600408</v>
      </c>
      <c r="AJ117" s="638">
        <f t="shared" si="39"/>
        <v>600408</v>
      </c>
      <c r="AK117" s="322">
        <v>0</v>
      </c>
      <c r="AL117" s="80">
        <f t="shared" si="29"/>
        <v>667.12</v>
      </c>
      <c r="AM117" s="79"/>
      <c r="AN117" s="322"/>
      <c r="AO117" s="79"/>
      <c r="AP117" s="322"/>
      <c r="AQ117" s="79"/>
      <c r="AR117" s="322"/>
      <c r="AS117" s="79"/>
      <c r="AT117" s="322"/>
      <c r="AU117" s="325">
        <f t="shared" si="30"/>
        <v>0</v>
      </c>
      <c r="AV117" s="90">
        <f t="shared" si="42"/>
        <v>0</v>
      </c>
      <c r="AW117" s="324">
        <f t="shared" si="32"/>
        <v>0</v>
      </c>
      <c r="AX117" s="80">
        <f t="shared" si="43"/>
        <v>0</v>
      </c>
      <c r="AY117" s="326">
        <f t="shared" si="34"/>
        <v>4051.9822222222224</v>
      </c>
      <c r="AZ117" s="80">
        <f t="shared" si="35"/>
        <v>4378.586666666667</v>
      </c>
    </row>
    <row r="118" spans="1:52">
      <c r="A118" s="179" t="s">
        <v>712</v>
      </c>
      <c r="B118" s="201" t="s">
        <v>155</v>
      </c>
      <c r="C118" s="202">
        <v>133960</v>
      </c>
      <c r="D118" s="181">
        <v>10</v>
      </c>
      <c r="E118" s="162" t="s">
        <v>442</v>
      </c>
      <c r="F118" s="163" t="s">
        <v>442</v>
      </c>
      <c r="G118" s="79"/>
      <c r="H118" s="322"/>
      <c r="I118" s="79">
        <v>8333</v>
      </c>
      <c r="J118" s="322">
        <v>9933</v>
      </c>
      <c r="K118" s="79">
        <v>3910</v>
      </c>
      <c r="L118" s="322">
        <v>3613</v>
      </c>
      <c r="M118" s="79">
        <v>8371</v>
      </c>
      <c r="N118" s="322">
        <v>10982</v>
      </c>
      <c r="O118" s="323">
        <f t="shared" si="22"/>
        <v>20614</v>
      </c>
      <c r="P118" s="638">
        <f t="shared" si="36"/>
        <v>0</v>
      </c>
      <c r="Q118" s="639" t="s">
        <v>949</v>
      </c>
      <c r="R118" s="90">
        <f t="shared" si="40"/>
        <v>687.13333333333333</v>
      </c>
      <c r="S118" s="324">
        <f t="shared" si="24"/>
        <v>24528</v>
      </c>
      <c r="T118" s="638">
        <f t="shared" si="37"/>
        <v>24528</v>
      </c>
      <c r="U118" s="322">
        <v>2702</v>
      </c>
      <c r="V118" s="80">
        <f t="shared" si="41"/>
        <v>817.6</v>
      </c>
      <c r="W118" s="79"/>
      <c r="X118" s="322"/>
      <c r="Y118" s="79">
        <v>26332</v>
      </c>
      <c r="Z118" s="322">
        <v>18522</v>
      </c>
      <c r="AA118" s="79">
        <v>9692</v>
      </c>
      <c r="AB118" s="322">
        <v>8988</v>
      </c>
      <c r="AC118" s="79">
        <v>16461</v>
      </c>
      <c r="AD118" s="322">
        <v>24487</v>
      </c>
      <c r="AE118" s="323">
        <f t="shared" si="26"/>
        <v>52485</v>
      </c>
      <c r="AF118" s="638">
        <f t="shared" si="38"/>
        <v>0</v>
      </c>
      <c r="AG118" s="639" t="s">
        <v>949</v>
      </c>
      <c r="AH118" s="90">
        <f t="shared" si="27"/>
        <v>58.31666666666667</v>
      </c>
      <c r="AI118" s="80">
        <f t="shared" si="28"/>
        <v>51997</v>
      </c>
      <c r="AJ118" s="638">
        <f t="shared" si="39"/>
        <v>51997</v>
      </c>
      <c r="AK118" s="322">
        <v>0</v>
      </c>
      <c r="AL118" s="80">
        <f t="shared" si="29"/>
        <v>57.774444444444441</v>
      </c>
      <c r="AM118" s="79"/>
      <c r="AN118" s="322"/>
      <c r="AO118" s="79"/>
      <c r="AP118" s="322"/>
      <c r="AQ118" s="79"/>
      <c r="AR118" s="322"/>
      <c r="AS118" s="79"/>
      <c r="AT118" s="322"/>
      <c r="AU118" s="325">
        <f t="shared" si="30"/>
        <v>0</v>
      </c>
      <c r="AV118" s="90">
        <f t="shared" si="42"/>
        <v>0</v>
      </c>
      <c r="AW118" s="324">
        <f t="shared" si="32"/>
        <v>0</v>
      </c>
      <c r="AX118" s="80">
        <f t="shared" si="43"/>
        <v>0</v>
      </c>
      <c r="AY118" s="326">
        <f t="shared" si="34"/>
        <v>745.45</v>
      </c>
      <c r="AZ118" s="80">
        <f t="shared" si="35"/>
        <v>875.37444444444441</v>
      </c>
    </row>
    <row r="119" spans="1:52">
      <c r="A119" s="179" t="s">
        <v>712</v>
      </c>
      <c r="B119" s="201" t="s">
        <v>163</v>
      </c>
      <c r="C119" s="202">
        <v>136145</v>
      </c>
      <c r="D119" s="181">
        <v>10</v>
      </c>
      <c r="E119" s="162" t="s">
        <v>442</v>
      </c>
      <c r="F119" s="163" t="s">
        <v>442</v>
      </c>
      <c r="G119" s="79"/>
      <c r="H119" s="322"/>
      <c r="I119" s="79">
        <v>9530</v>
      </c>
      <c r="J119" s="322">
        <v>9577</v>
      </c>
      <c r="K119" s="79">
        <v>2506</v>
      </c>
      <c r="L119" s="322">
        <v>2664</v>
      </c>
      <c r="M119" s="79">
        <v>11594</v>
      </c>
      <c r="N119" s="322">
        <v>9725</v>
      </c>
      <c r="O119" s="323">
        <f t="shared" si="22"/>
        <v>23630</v>
      </c>
      <c r="P119" s="638">
        <f t="shared" si="36"/>
        <v>0</v>
      </c>
      <c r="Q119" s="639" t="s">
        <v>949</v>
      </c>
      <c r="R119" s="90">
        <f t="shared" si="40"/>
        <v>787.66666666666663</v>
      </c>
      <c r="S119" s="324">
        <f t="shared" si="24"/>
        <v>21966</v>
      </c>
      <c r="T119" s="638">
        <f t="shared" si="37"/>
        <v>21966</v>
      </c>
      <c r="U119" s="322">
        <v>3131</v>
      </c>
      <c r="V119" s="80">
        <f t="shared" si="41"/>
        <v>732.2</v>
      </c>
      <c r="W119" s="79"/>
      <c r="X119" s="322"/>
      <c r="Y119" s="79">
        <v>65180</v>
      </c>
      <c r="Z119" s="322">
        <v>54381</v>
      </c>
      <c r="AA119" s="79">
        <v>23097</v>
      </c>
      <c r="AB119" s="322">
        <v>24601</v>
      </c>
      <c r="AC119" s="79">
        <v>74312</v>
      </c>
      <c r="AD119" s="322">
        <v>75293</v>
      </c>
      <c r="AE119" s="323">
        <f t="shared" si="26"/>
        <v>162589</v>
      </c>
      <c r="AF119" s="638">
        <f t="shared" si="38"/>
        <v>0</v>
      </c>
      <c r="AG119" s="639" t="s">
        <v>949</v>
      </c>
      <c r="AH119" s="90">
        <f t="shared" si="27"/>
        <v>180.65444444444444</v>
      </c>
      <c r="AI119" s="80">
        <f t="shared" si="28"/>
        <v>154275</v>
      </c>
      <c r="AJ119" s="638">
        <f t="shared" si="39"/>
        <v>154275</v>
      </c>
      <c r="AK119" s="322">
        <v>180</v>
      </c>
      <c r="AL119" s="80">
        <f t="shared" si="29"/>
        <v>171.41666666666666</v>
      </c>
      <c r="AM119" s="79"/>
      <c r="AN119" s="322"/>
      <c r="AO119" s="79"/>
      <c r="AP119" s="322"/>
      <c r="AQ119" s="79"/>
      <c r="AR119" s="322"/>
      <c r="AS119" s="79"/>
      <c r="AT119" s="322"/>
      <c r="AU119" s="325">
        <f t="shared" si="30"/>
        <v>0</v>
      </c>
      <c r="AV119" s="90">
        <f t="shared" si="42"/>
        <v>0</v>
      </c>
      <c r="AW119" s="324">
        <f t="shared" si="32"/>
        <v>0</v>
      </c>
      <c r="AX119" s="80">
        <f t="shared" si="43"/>
        <v>0</v>
      </c>
      <c r="AY119" s="326">
        <f t="shared" si="34"/>
        <v>968.32111111111112</v>
      </c>
      <c r="AZ119" s="80">
        <f t="shared" si="35"/>
        <v>903.61666666666667</v>
      </c>
    </row>
    <row r="120" spans="1:52">
      <c r="A120" s="94" t="s">
        <v>561</v>
      </c>
      <c r="B120" s="100" t="s">
        <v>671</v>
      </c>
      <c r="C120" s="222">
        <v>139940</v>
      </c>
      <c r="D120" s="95">
        <v>1</v>
      </c>
      <c r="E120" s="162" t="s">
        <v>442</v>
      </c>
      <c r="F120" s="163" t="s">
        <v>442</v>
      </c>
      <c r="G120" s="79"/>
      <c r="H120" s="322"/>
      <c r="I120" s="79">
        <f>125408+100942.5</f>
        <v>226350.5</v>
      </c>
      <c r="J120" s="322">
        <f>132212.5+106578.5</f>
        <v>238791</v>
      </c>
      <c r="K120" s="79">
        <f>33258+35941</f>
        <v>69199</v>
      </c>
      <c r="L120" s="322">
        <f>33786+36739</f>
        <v>70525</v>
      </c>
      <c r="M120" s="79">
        <f>145286+102688</f>
        <v>247974</v>
      </c>
      <c r="N120" s="322">
        <f>151622+106977.5</f>
        <v>258599.5</v>
      </c>
      <c r="O120" s="323">
        <f t="shared" si="22"/>
        <v>543523.5</v>
      </c>
      <c r="P120" s="638">
        <f t="shared" si="36"/>
        <v>0</v>
      </c>
      <c r="Q120" s="639" t="s">
        <v>949</v>
      </c>
      <c r="R120" s="90">
        <f t="shared" si="40"/>
        <v>18117.45</v>
      </c>
      <c r="S120" s="324">
        <f t="shared" si="24"/>
        <v>567915.5</v>
      </c>
      <c r="T120" s="638">
        <f t="shared" si="37"/>
        <v>567915.5</v>
      </c>
      <c r="U120" s="535">
        <v>1895</v>
      </c>
      <c r="V120" s="80">
        <f t="shared" si="41"/>
        <v>18930.516666666666</v>
      </c>
      <c r="W120" s="79"/>
      <c r="X120" s="322"/>
      <c r="Y120" s="79"/>
      <c r="Z120" s="322"/>
      <c r="AA120" s="79"/>
      <c r="AB120" s="322"/>
      <c r="AC120" s="79"/>
      <c r="AD120" s="322"/>
      <c r="AE120" s="323">
        <f t="shared" si="26"/>
        <v>0</v>
      </c>
      <c r="AF120" s="638">
        <f t="shared" si="38"/>
        <v>0</v>
      </c>
      <c r="AG120" s="322"/>
      <c r="AH120" s="90">
        <f t="shared" si="27"/>
        <v>0</v>
      </c>
      <c r="AI120" s="80">
        <f t="shared" si="28"/>
        <v>0</v>
      </c>
      <c r="AJ120" s="638">
        <f t="shared" si="39"/>
        <v>0</v>
      </c>
      <c r="AK120" s="322"/>
      <c r="AL120" s="80">
        <f t="shared" si="29"/>
        <v>0</v>
      </c>
      <c r="AM120" s="79"/>
      <c r="AN120" s="322"/>
      <c r="AO120" s="79">
        <v>70707.5</v>
      </c>
      <c r="AP120" s="322">
        <v>73973.5</v>
      </c>
      <c r="AQ120" s="79">
        <v>43126</v>
      </c>
      <c r="AR120" s="322">
        <v>45385</v>
      </c>
      <c r="AS120" s="79">
        <v>77697.5</v>
      </c>
      <c r="AT120" s="322">
        <v>80625.5</v>
      </c>
      <c r="AU120" s="325">
        <f t="shared" si="30"/>
        <v>191531</v>
      </c>
      <c r="AV120" s="90">
        <f t="shared" si="42"/>
        <v>7980.458333333333</v>
      </c>
      <c r="AW120" s="324">
        <f t="shared" si="32"/>
        <v>199984</v>
      </c>
      <c r="AX120" s="80">
        <f t="shared" si="43"/>
        <v>8332.6666666666661</v>
      </c>
      <c r="AY120" s="326">
        <f t="shared" si="34"/>
        <v>26097.908333333333</v>
      </c>
      <c r="AZ120" s="80">
        <f t="shared" si="35"/>
        <v>27263.183333333334</v>
      </c>
    </row>
    <row r="121" spans="1:52">
      <c r="A121" s="94" t="s">
        <v>561</v>
      </c>
      <c r="B121" s="100" t="s">
        <v>672</v>
      </c>
      <c r="C121" s="222">
        <v>139959</v>
      </c>
      <c r="D121" s="95">
        <v>1</v>
      </c>
      <c r="E121" s="162" t="s">
        <v>442</v>
      </c>
      <c r="F121" s="163" t="s">
        <v>442</v>
      </c>
      <c r="G121" s="79"/>
      <c r="H121" s="322"/>
      <c r="I121" s="79">
        <f>176290+150753.5</f>
        <v>327043.5</v>
      </c>
      <c r="J121" s="322">
        <f>174538+149853.5</f>
        <v>324391.5</v>
      </c>
      <c r="K121" s="79">
        <f>25607+34748</f>
        <v>60355</v>
      </c>
      <c r="L121" s="322">
        <f>26409+34373</f>
        <v>60782</v>
      </c>
      <c r="M121" s="79">
        <f>199090+143494.7</f>
        <v>342584.7</v>
      </c>
      <c r="N121" s="322">
        <f>195218+149748.8</f>
        <v>344966.8</v>
      </c>
      <c r="O121" s="323">
        <f t="shared" si="22"/>
        <v>729983.2</v>
      </c>
      <c r="P121" s="638">
        <f t="shared" si="36"/>
        <v>0</v>
      </c>
      <c r="Q121" s="639" t="s">
        <v>949</v>
      </c>
      <c r="R121" s="90">
        <f t="shared" si="40"/>
        <v>24332.773333333331</v>
      </c>
      <c r="S121" s="324">
        <f t="shared" si="24"/>
        <v>730140.3</v>
      </c>
      <c r="T121" s="638">
        <f t="shared" si="37"/>
        <v>730140.3</v>
      </c>
      <c r="U121" s="535">
        <v>239</v>
      </c>
      <c r="V121" s="80">
        <f t="shared" si="41"/>
        <v>24338.010000000002</v>
      </c>
      <c r="W121" s="79"/>
      <c r="X121" s="322"/>
      <c r="Y121" s="79"/>
      <c r="Z121" s="322"/>
      <c r="AA121" s="79"/>
      <c r="AB121" s="322"/>
      <c r="AC121" s="79"/>
      <c r="AD121" s="322"/>
      <c r="AE121" s="323">
        <f t="shared" si="26"/>
        <v>0</v>
      </c>
      <c r="AF121" s="638">
        <f t="shared" si="38"/>
        <v>0</v>
      </c>
      <c r="AG121" s="322"/>
      <c r="AH121" s="90">
        <f t="shared" si="27"/>
        <v>0</v>
      </c>
      <c r="AI121" s="80">
        <f t="shared" si="28"/>
        <v>0</v>
      </c>
      <c r="AJ121" s="638">
        <f t="shared" si="39"/>
        <v>0</v>
      </c>
      <c r="AK121" s="322"/>
      <c r="AL121" s="80">
        <f t="shared" si="29"/>
        <v>0</v>
      </c>
      <c r="AM121" s="79"/>
      <c r="AN121" s="322"/>
      <c r="AO121" s="79">
        <v>92721.7</v>
      </c>
      <c r="AP121" s="322">
        <v>91334.1</v>
      </c>
      <c r="AQ121" s="79">
        <v>38836</v>
      </c>
      <c r="AR121" s="322">
        <v>39373.599999999999</v>
      </c>
      <c r="AS121" s="79">
        <v>93994.4</v>
      </c>
      <c r="AT121" s="322">
        <v>96843.199999999997</v>
      </c>
      <c r="AU121" s="325">
        <f t="shared" si="30"/>
        <v>225552.1</v>
      </c>
      <c r="AV121" s="90">
        <f t="shared" si="42"/>
        <v>9398.0041666666675</v>
      </c>
      <c r="AW121" s="324">
        <f t="shared" si="32"/>
        <v>227550.90000000002</v>
      </c>
      <c r="AX121" s="80">
        <f t="shared" si="43"/>
        <v>9481.2875000000004</v>
      </c>
      <c r="AY121" s="326">
        <f t="shared" si="34"/>
        <v>33730.777499999997</v>
      </c>
      <c r="AZ121" s="80">
        <f t="shared" si="35"/>
        <v>33819.297500000001</v>
      </c>
    </row>
    <row r="122" spans="1:52">
      <c r="A122" s="94" t="s">
        <v>561</v>
      </c>
      <c r="B122" s="100" t="s">
        <v>673</v>
      </c>
      <c r="C122" s="222">
        <v>139755</v>
      </c>
      <c r="D122" s="104">
        <v>2</v>
      </c>
      <c r="E122" s="162" t="s">
        <v>442</v>
      </c>
      <c r="F122" s="163" t="s">
        <v>442</v>
      </c>
      <c r="G122" s="79"/>
      <c r="H122" s="322"/>
      <c r="I122" s="79">
        <f>92747.5+69193</f>
        <v>161940.5</v>
      </c>
      <c r="J122" s="322">
        <f>92803+71487</f>
        <v>164290</v>
      </c>
      <c r="K122" s="79">
        <f>20425+17840</f>
        <v>38265</v>
      </c>
      <c r="L122" s="322">
        <f>19980+19142</f>
        <v>39122</v>
      </c>
      <c r="M122" s="79">
        <f>106005+71618</f>
        <v>177623</v>
      </c>
      <c r="N122" s="322">
        <f>106059+74747</f>
        <v>180806</v>
      </c>
      <c r="O122" s="323">
        <f t="shared" si="22"/>
        <v>377828.5</v>
      </c>
      <c r="P122" s="638">
        <f t="shared" si="36"/>
        <v>0</v>
      </c>
      <c r="Q122" s="639" t="s">
        <v>949</v>
      </c>
      <c r="R122" s="90">
        <f t="shared" si="40"/>
        <v>12594.283333333333</v>
      </c>
      <c r="S122" s="324">
        <f t="shared" si="24"/>
        <v>384218</v>
      </c>
      <c r="T122" s="638">
        <f t="shared" si="37"/>
        <v>384218</v>
      </c>
      <c r="U122" s="535">
        <v>1173</v>
      </c>
      <c r="V122" s="80">
        <f t="shared" si="41"/>
        <v>12807.266666666666</v>
      </c>
      <c r="W122" s="79"/>
      <c r="X122" s="322"/>
      <c r="Y122" s="79"/>
      <c r="Z122" s="322"/>
      <c r="AA122" s="79"/>
      <c r="AB122" s="322"/>
      <c r="AC122" s="79"/>
      <c r="AD122" s="322"/>
      <c r="AE122" s="323">
        <f t="shared" si="26"/>
        <v>0</v>
      </c>
      <c r="AF122" s="638">
        <f t="shared" si="38"/>
        <v>0</v>
      </c>
      <c r="AG122" s="322"/>
      <c r="AH122" s="90">
        <f t="shared" si="27"/>
        <v>0</v>
      </c>
      <c r="AI122" s="80">
        <f t="shared" si="28"/>
        <v>0</v>
      </c>
      <c r="AJ122" s="638">
        <f t="shared" si="39"/>
        <v>0</v>
      </c>
      <c r="AK122" s="322"/>
      <c r="AL122" s="80">
        <f t="shared" si="29"/>
        <v>0</v>
      </c>
      <c r="AM122" s="79"/>
      <c r="AN122" s="322"/>
      <c r="AO122" s="79">
        <v>80193</v>
      </c>
      <c r="AP122" s="322">
        <v>84295</v>
      </c>
      <c r="AQ122" s="79">
        <v>40196.5</v>
      </c>
      <c r="AR122" s="322">
        <v>41288</v>
      </c>
      <c r="AS122" s="79">
        <v>89061.5</v>
      </c>
      <c r="AT122" s="322">
        <v>92342</v>
      </c>
      <c r="AU122" s="325">
        <f t="shared" si="30"/>
        <v>209451</v>
      </c>
      <c r="AV122" s="90">
        <f t="shared" si="42"/>
        <v>8727.125</v>
      </c>
      <c r="AW122" s="324">
        <f t="shared" si="32"/>
        <v>217925</v>
      </c>
      <c r="AX122" s="80">
        <f t="shared" si="43"/>
        <v>9080.2083333333339</v>
      </c>
      <c r="AY122" s="326">
        <f t="shared" si="34"/>
        <v>21321.408333333333</v>
      </c>
      <c r="AZ122" s="80">
        <f t="shared" si="35"/>
        <v>21887.474999999999</v>
      </c>
    </row>
    <row r="123" spans="1:52">
      <c r="A123" s="94" t="s">
        <v>561</v>
      </c>
      <c r="B123" s="100" t="s">
        <v>674</v>
      </c>
      <c r="C123" s="222">
        <v>139931</v>
      </c>
      <c r="D123" s="104">
        <v>3</v>
      </c>
      <c r="E123" s="162" t="s">
        <v>442</v>
      </c>
      <c r="F123" s="163" t="s">
        <v>442</v>
      </c>
      <c r="G123" s="79"/>
      <c r="H123" s="322"/>
      <c r="I123" s="79">
        <f>117092+63757</f>
        <v>180849</v>
      </c>
      <c r="J123" s="322">
        <f>119998+66326</f>
        <v>186324</v>
      </c>
      <c r="K123" s="79">
        <f>32096+18914</f>
        <v>51010</v>
      </c>
      <c r="L123" s="322">
        <f>30895+19482</f>
        <v>50377</v>
      </c>
      <c r="M123" s="79">
        <f>136953+63645</f>
        <v>200598</v>
      </c>
      <c r="N123" s="322">
        <f>142636+66390</f>
        <v>209026</v>
      </c>
      <c r="O123" s="323">
        <f t="shared" si="22"/>
        <v>432457</v>
      </c>
      <c r="P123" s="638">
        <f t="shared" si="36"/>
        <v>0</v>
      </c>
      <c r="Q123" s="639" t="s">
        <v>949</v>
      </c>
      <c r="R123" s="90">
        <f t="shared" si="40"/>
        <v>14415.233333333334</v>
      </c>
      <c r="S123" s="324">
        <f t="shared" si="24"/>
        <v>445727</v>
      </c>
      <c r="T123" s="638">
        <f t="shared" si="37"/>
        <v>445727</v>
      </c>
      <c r="U123" s="535">
        <v>1688</v>
      </c>
      <c r="V123" s="80">
        <f t="shared" si="41"/>
        <v>14857.566666666668</v>
      </c>
      <c r="W123" s="79"/>
      <c r="X123" s="322"/>
      <c r="Y123" s="79"/>
      <c r="Z123" s="322"/>
      <c r="AA123" s="79"/>
      <c r="AB123" s="322"/>
      <c r="AC123" s="79"/>
      <c r="AD123" s="322"/>
      <c r="AE123" s="323">
        <f t="shared" si="26"/>
        <v>0</v>
      </c>
      <c r="AF123" s="638">
        <f t="shared" si="38"/>
        <v>0</v>
      </c>
      <c r="AG123" s="322"/>
      <c r="AH123" s="90">
        <f t="shared" si="27"/>
        <v>0</v>
      </c>
      <c r="AI123" s="80">
        <f t="shared" si="28"/>
        <v>0</v>
      </c>
      <c r="AJ123" s="638">
        <f t="shared" si="39"/>
        <v>0</v>
      </c>
      <c r="AK123" s="322"/>
      <c r="AL123" s="80">
        <f t="shared" si="29"/>
        <v>0</v>
      </c>
      <c r="AM123" s="79"/>
      <c r="AN123" s="322"/>
      <c r="AO123" s="79">
        <v>11620</v>
      </c>
      <c r="AP123" s="322">
        <v>12244</v>
      </c>
      <c r="AQ123" s="79">
        <v>8056</v>
      </c>
      <c r="AR123" s="322">
        <v>9026</v>
      </c>
      <c r="AS123" s="79">
        <v>12463</v>
      </c>
      <c r="AT123" s="322">
        <v>14391</v>
      </c>
      <c r="AU123" s="325">
        <f t="shared" si="30"/>
        <v>32139</v>
      </c>
      <c r="AV123" s="90">
        <f t="shared" si="42"/>
        <v>1339.125</v>
      </c>
      <c r="AW123" s="324">
        <f t="shared" si="32"/>
        <v>35661</v>
      </c>
      <c r="AX123" s="80">
        <f t="shared" si="43"/>
        <v>1485.875</v>
      </c>
      <c r="AY123" s="326">
        <f t="shared" si="34"/>
        <v>15754.358333333334</v>
      </c>
      <c r="AZ123" s="80">
        <f t="shared" si="35"/>
        <v>16343.441666666668</v>
      </c>
    </row>
    <row r="124" spans="1:52">
      <c r="A124" s="94" t="s">
        <v>561</v>
      </c>
      <c r="B124" s="101" t="s">
        <v>675</v>
      </c>
      <c r="C124" s="222">
        <v>141334</v>
      </c>
      <c r="D124" s="104">
        <v>3</v>
      </c>
      <c r="E124" s="162" t="s">
        <v>442</v>
      </c>
      <c r="F124" s="163" t="s">
        <v>442</v>
      </c>
      <c r="G124" s="79"/>
      <c r="H124" s="322"/>
      <c r="I124" s="79">
        <f>66124+34172</f>
        <v>100296</v>
      </c>
      <c r="J124" s="322">
        <f>71317+36078</f>
        <v>107395</v>
      </c>
      <c r="K124" s="79">
        <f>14313+11689</f>
        <v>26002</v>
      </c>
      <c r="L124" s="322">
        <f>15706+13262</f>
        <v>28968</v>
      </c>
      <c r="M124" s="79">
        <f>77866+36090</f>
        <v>113956</v>
      </c>
      <c r="N124" s="322">
        <f>82960+37252</f>
        <v>120212</v>
      </c>
      <c r="O124" s="323">
        <f t="shared" si="22"/>
        <v>240254</v>
      </c>
      <c r="P124" s="638">
        <f t="shared" si="36"/>
        <v>0</v>
      </c>
      <c r="Q124" s="639" t="s">
        <v>949</v>
      </c>
      <c r="R124" s="90">
        <f t="shared" si="40"/>
        <v>8008.4666666666662</v>
      </c>
      <c r="S124" s="324">
        <f t="shared" si="24"/>
        <v>256575</v>
      </c>
      <c r="T124" s="638">
        <f t="shared" si="37"/>
        <v>256575</v>
      </c>
      <c r="U124" s="535">
        <v>3024</v>
      </c>
      <c r="V124" s="80">
        <f t="shared" si="41"/>
        <v>8552.5</v>
      </c>
      <c r="W124" s="79"/>
      <c r="X124" s="322"/>
      <c r="Y124" s="79"/>
      <c r="Z124" s="322"/>
      <c r="AA124" s="79"/>
      <c r="AB124" s="322"/>
      <c r="AC124" s="79"/>
      <c r="AD124" s="322"/>
      <c r="AE124" s="323">
        <f t="shared" si="26"/>
        <v>0</v>
      </c>
      <c r="AF124" s="638">
        <f t="shared" si="38"/>
        <v>0</v>
      </c>
      <c r="AG124" s="322"/>
      <c r="AH124" s="90">
        <f t="shared" si="27"/>
        <v>0</v>
      </c>
      <c r="AI124" s="80">
        <f t="shared" si="28"/>
        <v>0</v>
      </c>
      <c r="AJ124" s="638">
        <f t="shared" si="39"/>
        <v>0</v>
      </c>
      <c r="AK124" s="322"/>
      <c r="AL124" s="80">
        <f t="shared" si="29"/>
        <v>0</v>
      </c>
      <c r="AM124" s="79"/>
      <c r="AN124" s="322"/>
      <c r="AO124" s="79">
        <v>7980</v>
      </c>
      <c r="AP124" s="322">
        <v>10592</v>
      </c>
      <c r="AQ124" s="79">
        <v>8101</v>
      </c>
      <c r="AR124" s="322">
        <v>9941</v>
      </c>
      <c r="AS124" s="79">
        <v>9749</v>
      </c>
      <c r="AT124" s="322">
        <v>11078</v>
      </c>
      <c r="AU124" s="325">
        <f t="shared" si="30"/>
        <v>25830</v>
      </c>
      <c r="AV124" s="90">
        <f t="shared" si="42"/>
        <v>1076.25</v>
      </c>
      <c r="AW124" s="324">
        <f t="shared" si="32"/>
        <v>31611</v>
      </c>
      <c r="AX124" s="80">
        <f t="shared" si="43"/>
        <v>1317.125</v>
      </c>
      <c r="AY124" s="326">
        <f t="shared" si="34"/>
        <v>9084.7166666666672</v>
      </c>
      <c r="AZ124" s="80">
        <f t="shared" si="35"/>
        <v>9869.625</v>
      </c>
    </row>
    <row r="125" spans="1:52">
      <c r="A125" s="94" t="s">
        <v>561</v>
      </c>
      <c r="B125" s="101" t="s">
        <v>676</v>
      </c>
      <c r="C125" s="222">
        <v>141264</v>
      </c>
      <c r="D125" s="104">
        <v>3</v>
      </c>
      <c r="E125" s="162" t="s">
        <v>442</v>
      </c>
      <c r="F125" s="163" t="s">
        <v>442</v>
      </c>
      <c r="G125" s="79"/>
      <c r="H125" s="322"/>
      <c r="I125" s="79">
        <f>72640+42778</f>
        <v>115418</v>
      </c>
      <c r="J125" s="322">
        <f>74132+44730</f>
        <v>118862</v>
      </c>
      <c r="K125" s="79">
        <f>14129+11316</f>
        <v>25445</v>
      </c>
      <c r="L125" s="322">
        <f>13140+11506</f>
        <v>24646</v>
      </c>
      <c r="M125" s="79">
        <f>83738+44231</f>
        <v>127969</v>
      </c>
      <c r="N125" s="322">
        <f>84886+43888</f>
        <v>128774</v>
      </c>
      <c r="O125" s="323">
        <f t="shared" si="22"/>
        <v>268832</v>
      </c>
      <c r="P125" s="638">
        <f t="shared" si="36"/>
        <v>0</v>
      </c>
      <c r="Q125" s="639" t="s">
        <v>949</v>
      </c>
      <c r="R125" s="90">
        <f t="shared" si="40"/>
        <v>8961.0666666666675</v>
      </c>
      <c r="S125" s="324">
        <f t="shared" si="24"/>
        <v>272282</v>
      </c>
      <c r="T125" s="638">
        <f t="shared" si="37"/>
        <v>272282</v>
      </c>
      <c r="U125" s="535">
        <v>372</v>
      </c>
      <c r="V125" s="80">
        <f t="shared" si="41"/>
        <v>9076.0666666666675</v>
      </c>
      <c r="W125" s="79"/>
      <c r="X125" s="322"/>
      <c r="Y125" s="79"/>
      <c r="Z125" s="322"/>
      <c r="AA125" s="79"/>
      <c r="AB125" s="322"/>
      <c r="AC125" s="79"/>
      <c r="AD125" s="322"/>
      <c r="AE125" s="323">
        <f t="shared" si="26"/>
        <v>0</v>
      </c>
      <c r="AF125" s="638">
        <f t="shared" si="38"/>
        <v>0</v>
      </c>
      <c r="AG125" s="322"/>
      <c r="AH125" s="90">
        <f t="shared" si="27"/>
        <v>0</v>
      </c>
      <c r="AI125" s="80">
        <f t="shared" si="28"/>
        <v>0</v>
      </c>
      <c r="AJ125" s="638">
        <f t="shared" si="39"/>
        <v>0</v>
      </c>
      <c r="AK125" s="322"/>
      <c r="AL125" s="80">
        <f t="shared" si="29"/>
        <v>0</v>
      </c>
      <c r="AM125" s="79"/>
      <c r="AN125" s="322"/>
      <c r="AO125" s="79">
        <v>8974</v>
      </c>
      <c r="AP125" s="322">
        <v>10775</v>
      </c>
      <c r="AQ125" s="79">
        <v>6977</v>
      </c>
      <c r="AR125" s="322">
        <v>8342</v>
      </c>
      <c r="AS125" s="79">
        <v>10303</v>
      </c>
      <c r="AT125" s="322">
        <v>11628</v>
      </c>
      <c r="AU125" s="325">
        <f t="shared" si="30"/>
        <v>26254</v>
      </c>
      <c r="AV125" s="90">
        <f t="shared" si="42"/>
        <v>1093.9166666666667</v>
      </c>
      <c r="AW125" s="324">
        <f t="shared" si="32"/>
        <v>30745</v>
      </c>
      <c r="AX125" s="80">
        <f t="shared" si="43"/>
        <v>1281.0416666666667</v>
      </c>
      <c r="AY125" s="326">
        <f t="shared" si="34"/>
        <v>10054.983333333334</v>
      </c>
      <c r="AZ125" s="80">
        <f t="shared" si="35"/>
        <v>10357.108333333334</v>
      </c>
    </row>
    <row r="126" spans="1:52">
      <c r="A126" s="94" t="s">
        <v>561</v>
      </c>
      <c r="B126" s="100" t="s">
        <v>677</v>
      </c>
      <c r="C126" s="222">
        <v>138716</v>
      </c>
      <c r="D126" s="104">
        <v>4</v>
      </c>
      <c r="E126" s="162" t="s">
        <v>442</v>
      </c>
      <c r="F126" s="163" t="s">
        <v>442</v>
      </c>
      <c r="G126" s="79"/>
      <c r="H126" s="322"/>
      <c r="I126" s="79">
        <f>31125+13547</f>
        <v>44672</v>
      </c>
      <c r="J126" s="322">
        <f>30871+14959</f>
        <v>45830</v>
      </c>
      <c r="K126" s="79">
        <f>7557+3959</f>
        <v>11516</v>
      </c>
      <c r="L126" s="322">
        <f>7435+4531</f>
        <v>11966</v>
      </c>
      <c r="M126" s="79">
        <f>34399+13769</f>
        <v>48168</v>
      </c>
      <c r="N126" s="322">
        <f>34708+14468</f>
        <v>49176</v>
      </c>
      <c r="O126" s="323">
        <f t="shared" si="22"/>
        <v>104356</v>
      </c>
      <c r="P126" s="638">
        <f t="shared" si="36"/>
        <v>0</v>
      </c>
      <c r="Q126" s="639" t="s">
        <v>949</v>
      </c>
      <c r="R126" s="90">
        <f t="shared" si="40"/>
        <v>3478.5333333333333</v>
      </c>
      <c r="S126" s="324">
        <f t="shared" si="24"/>
        <v>106972</v>
      </c>
      <c r="T126" s="638">
        <f t="shared" si="37"/>
        <v>106972</v>
      </c>
      <c r="U126" s="535">
        <v>27</v>
      </c>
      <c r="V126" s="80">
        <f t="shared" si="41"/>
        <v>3565.7333333333331</v>
      </c>
      <c r="W126" s="79"/>
      <c r="X126" s="322"/>
      <c r="Y126" s="79"/>
      <c r="Z126" s="322"/>
      <c r="AA126" s="79"/>
      <c r="AB126" s="322"/>
      <c r="AC126" s="79"/>
      <c r="AD126" s="322"/>
      <c r="AE126" s="323">
        <f t="shared" si="26"/>
        <v>0</v>
      </c>
      <c r="AF126" s="638">
        <f t="shared" si="38"/>
        <v>0</v>
      </c>
      <c r="AG126" s="322"/>
      <c r="AH126" s="90">
        <f t="shared" si="27"/>
        <v>0</v>
      </c>
      <c r="AI126" s="80">
        <f t="shared" si="28"/>
        <v>0</v>
      </c>
      <c r="AJ126" s="638">
        <f t="shared" si="39"/>
        <v>0</v>
      </c>
      <c r="AK126" s="322"/>
      <c r="AL126" s="80">
        <f t="shared" si="29"/>
        <v>0</v>
      </c>
      <c r="AM126" s="79"/>
      <c r="AN126" s="322"/>
      <c r="AO126" s="79">
        <v>2313</v>
      </c>
      <c r="AP126" s="322">
        <v>2559</v>
      </c>
      <c r="AQ126" s="79">
        <v>1882</v>
      </c>
      <c r="AR126" s="322">
        <v>2035</v>
      </c>
      <c r="AS126" s="79">
        <v>2753</v>
      </c>
      <c r="AT126" s="322">
        <v>2634</v>
      </c>
      <c r="AU126" s="325">
        <f t="shared" si="30"/>
        <v>6948</v>
      </c>
      <c r="AV126" s="90">
        <f t="shared" si="42"/>
        <v>289.5</v>
      </c>
      <c r="AW126" s="324">
        <f t="shared" si="32"/>
        <v>7228</v>
      </c>
      <c r="AX126" s="80">
        <f t="shared" si="43"/>
        <v>301.16666666666669</v>
      </c>
      <c r="AY126" s="326">
        <f t="shared" si="34"/>
        <v>3768.0333333333333</v>
      </c>
      <c r="AZ126" s="80">
        <f t="shared" si="35"/>
        <v>3866.8999999999996</v>
      </c>
    </row>
    <row r="127" spans="1:52">
      <c r="A127" s="94" t="s">
        <v>561</v>
      </c>
      <c r="B127" s="100" t="s">
        <v>678</v>
      </c>
      <c r="C127" s="222">
        <v>138789</v>
      </c>
      <c r="D127" s="95">
        <v>4</v>
      </c>
      <c r="E127" s="162" t="s">
        <v>442</v>
      </c>
      <c r="F127" s="163" t="s">
        <v>442</v>
      </c>
      <c r="G127" s="79"/>
      <c r="H127" s="322"/>
      <c r="I127" s="79">
        <f>42548.2+21791</f>
        <v>64339.199999999997</v>
      </c>
      <c r="J127" s="322">
        <f>43168+21367</f>
        <v>64535</v>
      </c>
      <c r="K127" s="79">
        <f>10286+6773</f>
        <v>17059</v>
      </c>
      <c r="L127" s="322">
        <f>10896+7045</f>
        <v>17941</v>
      </c>
      <c r="M127" s="79">
        <f>46627.8+22597</f>
        <v>69224.800000000003</v>
      </c>
      <c r="N127" s="322">
        <f>48600.9+23693</f>
        <v>72293.899999999994</v>
      </c>
      <c r="O127" s="323">
        <f t="shared" si="22"/>
        <v>150623</v>
      </c>
      <c r="P127" s="638">
        <f t="shared" si="36"/>
        <v>0</v>
      </c>
      <c r="Q127" s="639" t="s">
        <v>949</v>
      </c>
      <c r="R127" s="90">
        <f t="shared" si="40"/>
        <v>5020.7666666666664</v>
      </c>
      <c r="S127" s="324">
        <f t="shared" si="24"/>
        <v>154769.9</v>
      </c>
      <c r="T127" s="638">
        <f t="shared" si="37"/>
        <v>154769.9</v>
      </c>
      <c r="U127" s="535">
        <v>874</v>
      </c>
      <c r="V127" s="80">
        <f t="shared" si="41"/>
        <v>5158.9966666666669</v>
      </c>
      <c r="W127" s="79"/>
      <c r="X127" s="322"/>
      <c r="Y127" s="79"/>
      <c r="Z127" s="322"/>
      <c r="AA127" s="79"/>
      <c r="AB127" s="322"/>
      <c r="AC127" s="79"/>
      <c r="AD127" s="322"/>
      <c r="AE127" s="323">
        <f t="shared" si="26"/>
        <v>0</v>
      </c>
      <c r="AF127" s="638">
        <f t="shared" si="38"/>
        <v>0</v>
      </c>
      <c r="AG127" s="322"/>
      <c r="AH127" s="90">
        <f t="shared" si="27"/>
        <v>0</v>
      </c>
      <c r="AI127" s="80">
        <f t="shared" si="28"/>
        <v>0</v>
      </c>
      <c r="AJ127" s="638">
        <f t="shared" si="39"/>
        <v>0</v>
      </c>
      <c r="AK127" s="322"/>
      <c r="AL127" s="80">
        <f t="shared" si="29"/>
        <v>0</v>
      </c>
      <c r="AM127" s="79"/>
      <c r="AN127" s="322"/>
      <c r="AO127" s="79">
        <v>3768</v>
      </c>
      <c r="AP127" s="322">
        <v>4483</v>
      </c>
      <c r="AQ127" s="79">
        <v>3001</v>
      </c>
      <c r="AR127" s="322">
        <v>3651</v>
      </c>
      <c r="AS127" s="79">
        <v>4897</v>
      </c>
      <c r="AT127" s="322">
        <v>4833</v>
      </c>
      <c r="AU127" s="325">
        <f t="shared" si="30"/>
        <v>11666</v>
      </c>
      <c r="AV127" s="90">
        <f t="shared" si="42"/>
        <v>486.08333333333331</v>
      </c>
      <c r="AW127" s="324">
        <f t="shared" si="32"/>
        <v>12967</v>
      </c>
      <c r="AX127" s="80">
        <f t="shared" si="43"/>
        <v>540.29166666666663</v>
      </c>
      <c r="AY127" s="326">
        <f t="shared" si="34"/>
        <v>5506.8499999999995</v>
      </c>
      <c r="AZ127" s="80">
        <f t="shared" si="35"/>
        <v>5699.2883333333339</v>
      </c>
    </row>
    <row r="128" spans="1:52">
      <c r="A128" s="94" t="s">
        <v>561</v>
      </c>
      <c r="B128" s="375" t="s">
        <v>679</v>
      </c>
      <c r="C128" s="222">
        <v>139366</v>
      </c>
      <c r="D128" s="104">
        <v>4</v>
      </c>
      <c r="E128" s="162" t="s">
        <v>442</v>
      </c>
      <c r="F128" s="163" t="s">
        <v>442</v>
      </c>
      <c r="G128" s="79"/>
      <c r="H128" s="322"/>
      <c r="I128" s="79">
        <f>48915+25841</f>
        <v>74756</v>
      </c>
      <c r="J128" s="322">
        <f>46051+26489</f>
        <v>72540</v>
      </c>
      <c r="K128" s="79">
        <f>13702+8068</f>
        <v>21770</v>
      </c>
      <c r="L128" s="322">
        <f>13720+7560</f>
        <v>21280</v>
      </c>
      <c r="M128" s="79">
        <f>51028+26016</f>
        <v>77044</v>
      </c>
      <c r="N128" s="322">
        <f>52289+27889</f>
        <v>80178</v>
      </c>
      <c r="O128" s="323">
        <f t="shared" si="22"/>
        <v>173570</v>
      </c>
      <c r="P128" s="638">
        <f t="shared" si="36"/>
        <v>0</v>
      </c>
      <c r="Q128" s="639" t="s">
        <v>949</v>
      </c>
      <c r="R128" s="90">
        <f t="shared" si="40"/>
        <v>5785.666666666667</v>
      </c>
      <c r="S128" s="324">
        <f t="shared" si="24"/>
        <v>173998</v>
      </c>
      <c r="T128" s="638">
        <f t="shared" si="37"/>
        <v>173998</v>
      </c>
      <c r="U128" s="535">
        <v>933</v>
      </c>
      <c r="V128" s="80">
        <f t="shared" si="41"/>
        <v>5799.9333333333334</v>
      </c>
      <c r="W128" s="79"/>
      <c r="X128" s="322"/>
      <c r="Y128" s="79"/>
      <c r="Z128" s="322"/>
      <c r="AA128" s="79"/>
      <c r="AB128" s="322"/>
      <c r="AC128" s="79"/>
      <c r="AD128" s="322"/>
      <c r="AE128" s="323">
        <f t="shared" si="26"/>
        <v>0</v>
      </c>
      <c r="AF128" s="638">
        <f t="shared" si="38"/>
        <v>0</v>
      </c>
      <c r="AG128" s="322"/>
      <c r="AH128" s="90">
        <f t="shared" si="27"/>
        <v>0</v>
      </c>
      <c r="AI128" s="80">
        <f t="shared" si="28"/>
        <v>0</v>
      </c>
      <c r="AJ128" s="638">
        <f t="shared" si="39"/>
        <v>0</v>
      </c>
      <c r="AK128" s="322"/>
      <c r="AL128" s="80">
        <f t="shared" si="29"/>
        <v>0</v>
      </c>
      <c r="AM128" s="79"/>
      <c r="AN128" s="322"/>
      <c r="AO128" s="79">
        <v>5561</v>
      </c>
      <c r="AP128" s="322">
        <v>7217</v>
      </c>
      <c r="AQ128" s="79">
        <v>4221</v>
      </c>
      <c r="AR128" s="322">
        <v>4927</v>
      </c>
      <c r="AS128" s="79">
        <v>6841</v>
      </c>
      <c r="AT128" s="322">
        <v>7237</v>
      </c>
      <c r="AU128" s="325">
        <f t="shared" si="30"/>
        <v>16623</v>
      </c>
      <c r="AV128" s="90">
        <f t="shared" si="42"/>
        <v>692.625</v>
      </c>
      <c r="AW128" s="324">
        <f t="shared" si="32"/>
        <v>19381</v>
      </c>
      <c r="AX128" s="80">
        <f t="shared" si="43"/>
        <v>807.54166666666663</v>
      </c>
      <c r="AY128" s="326">
        <f t="shared" si="34"/>
        <v>6478.291666666667</v>
      </c>
      <c r="AZ128" s="80">
        <f t="shared" si="35"/>
        <v>6607.4750000000004</v>
      </c>
    </row>
    <row r="129" spans="1:52">
      <c r="A129" s="94" t="s">
        <v>561</v>
      </c>
      <c r="B129" s="100" t="s">
        <v>680</v>
      </c>
      <c r="C129" s="222">
        <v>139861</v>
      </c>
      <c r="D129" s="104">
        <v>4</v>
      </c>
      <c r="E129" s="162" t="s">
        <v>442</v>
      </c>
      <c r="F129" s="163" t="s">
        <v>442</v>
      </c>
      <c r="G129" s="79"/>
      <c r="H129" s="322"/>
      <c r="I129" s="79">
        <f>39630+25757</f>
        <v>65387</v>
      </c>
      <c r="J129" s="322">
        <f>41826+27005</f>
        <v>68831</v>
      </c>
      <c r="K129" s="79">
        <f>7049+6664</f>
        <v>13713</v>
      </c>
      <c r="L129" s="322">
        <f>7189+6697</f>
        <v>13886</v>
      </c>
      <c r="M129" s="79">
        <f>47259+25514</f>
        <v>72773</v>
      </c>
      <c r="N129" s="322">
        <f>48399+26495</f>
        <v>74894</v>
      </c>
      <c r="O129" s="323">
        <f t="shared" si="22"/>
        <v>151873</v>
      </c>
      <c r="P129" s="638">
        <f t="shared" si="36"/>
        <v>0</v>
      </c>
      <c r="Q129" s="639" t="s">
        <v>949</v>
      </c>
      <c r="R129" s="90">
        <f t="shared" si="40"/>
        <v>5062.4333333333334</v>
      </c>
      <c r="S129" s="324">
        <f t="shared" si="24"/>
        <v>157611</v>
      </c>
      <c r="T129" s="638">
        <f t="shared" si="37"/>
        <v>157611</v>
      </c>
      <c r="U129" s="535">
        <v>366</v>
      </c>
      <c r="V129" s="80">
        <f t="shared" si="41"/>
        <v>5253.7</v>
      </c>
      <c r="W129" s="79"/>
      <c r="X129" s="322"/>
      <c r="Y129" s="79"/>
      <c r="Z129" s="322"/>
      <c r="AA129" s="79"/>
      <c r="AB129" s="322"/>
      <c r="AC129" s="79"/>
      <c r="AD129" s="322"/>
      <c r="AE129" s="323">
        <f t="shared" si="26"/>
        <v>0</v>
      </c>
      <c r="AF129" s="638">
        <f t="shared" si="38"/>
        <v>0</v>
      </c>
      <c r="AG129" s="322"/>
      <c r="AH129" s="90">
        <f t="shared" si="27"/>
        <v>0</v>
      </c>
      <c r="AI129" s="80">
        <f t="shared" si="28"/>
        <v>0</v>
      </c>
      <c r="AJ129" s="638">
        <f t="shared" si="39"/>
        <v>0</v>
      </c>
      <c r="AK129" s="322"/>
      <c r="AL129" s="80">
        <f t="shared" si="29"/>
        <v>0</v>
      </c>
      <c r="AM129" s="79"/>
      <c r="AN129" s="322"/>
      <c r="AO129" s="79">
        <v>6150</v>
      </c>
      <c r="AP129" s="322">
        <v>6609</v>
      </c>
      <c r="AQ129" s="79">
        <v>5144</v>
      </c>
      <c r="AR129" s="322">
        <v>5492</v>
      </c>
      <c r="AS129" s="79">
        <v>6599</v>
      </c>
      <c r="AT129" s="322">
        <v>7385</v>
      </c>
      <c r="AU129" s="325">
        <f t="shared" si="30"/>
        <v>17893</v>
      </c>
      <c r="AV129" s="90">
        <f t="shared" si="42"/>
        <v>745.54166666666663</v>
      </c>
      <c r="AW129" s="324">
        <f t="shared" si="32"/>
        <v>19486</v>
      </c>
      <c r="AX129" s="80">
        <f t="shared" si="43"/>
        <v>811.91666666666663</v>
      </c>
      <c r="AY129" s="326">
        <f t="shared" si="34"/>
        <v>5807.9750000000004</v>
      </c>
      <c r="AZ129" s="80">
        <f t="shared" si="35"/>
        <v>6065.6166666666668</v>
      </c>
    </row>
    <row r="130" spans="1:52">
      <c r="A130" s="94" t="s">
        <v>561</v>
      </c>
      <c r="B130" s="100" t="s">
        <v>681</v>
      </c>
      <c r="C130" s="222">
        <v>140164</v>
      </c>
      <c r="D130" s="104">
        <v>4</v>
      </c>
      <c r="E130" s="162" t="s">
        <v>442</v>
      </c>
      <c r="F130" s="163" t="s">
        <v>442</v>
      </c>
      <c r="G130" s="79"/>
      <c r="H130" s="322"/>
      <c r="I130" s="79">
        <f>124858+76328</f>
        <v>201186</v>
      </c>
      <c r="J130" s="322">
        <f>128666+81346</f>
        <v>210012</v>
      </c>
      <c r="K130" s="79">
        <f>31297+29466</f>
        <v>60763</v>
      </c>
      <c r="L130" s="322">
        <f>32499+31705</f>
        <v>64204</v>
      </c>
      <c r="M130" s="79">
        <f>139930+78068</f>
        <v>217998</v>
      </c>
      <c r="N130" s="322">
        <f>150433+81750</f>
        <v>232183</v>
      </c>
      <c r="O130" s="323">
        <f t="shared" si="22"/>
        <v>479947</v>
      </c>
      <c r="P130" s="638">
        <f t="shared" si="36"/>
        <v>0</v>
      </c>
      <c r="Q130" s="639" t="s">
        <v>949</v>
      </c>
      <c r="R130" s="90">
        <f t="shared" si="40"/>
        <v>15998.233333333334</v>
      </c>
      <c r="S130" s="324">
        <f t="shared" si="24"/>
        <v>506399</v>
      </c>
      <c r="T130" s="638">
        <f t="shared" si="37"/>
        <v>506399</v>
      </c>
      <c r="U130" s="535">
        <v>1953</v>
      </c>
      <c r="V130" s="80">
        <f t="shared" si="41"/>
        <v>16879.966666666667</v>
      </c>
      <c r="W130" s="79"/>
      <c r="X130" s="322"/>
      <c r="Y130" s="79"/>
      <c r="Z130" s="322"/>
      <c r="AA130" s="79"/>
      <c r="AB130" s="322"/>
      <c r="AC130" s="79"/>
      <c r="AD130" s="322"/>
      <c r="AE130" s="323">
        <f t="shared" si="26"/>
        <v>0</v>
      </c>
      <c r="AF130" s="638">
        <f t="shared" si="38"/>
        <v>0</v>
      </c>
      <c r="AG130" s="322"/>
      <c r="AH130" s="90">
        <f t="shared" si="27"/>
        <v>0</v>
      </c>
      <c r="AI130" s="80">
        <f t="shared" si="28"/>
        <v>0</v>
      </c>
      <c r="AJ130" s="638">
        <f t="shared" si="39"/>
        <v>0</v>
      </c>
      <c r="AK130" s="322"/>
      <c r="AL130" s="80">
        <f t="shared" si="29"/>
        <v>0</v>
      </c>
      <c r="AM130" s="79"/>
      <c r="AN130" s="322"/>
      <c r="AO130" s="79">
        <v>14273</v>
      </c>
      <c r="AP130" s="322">
        <v>15950</v>
      </c>
      <c r="AQ130" s="79">
        <v>9933</v>
      </c>
      <c r="AR130" s="322">
        <v>10241</v>
      </c>
      <c r="AS130" s="79">
        <v>16176</v>
      </c>
      <c r="AT130" s="322">
        <v>16514</v>
      </c>
      <c r="AU130" s="325">
        <f t="shared" si="30"/>
        <v>40382</v>
      </c>
      <c r="AV130" s="90">
        <f t="shared" si="42"/>
        <v>1682.5833333333333</v>
      </c>
      <c r="AW130" s="324">
        <f t="shared" si="32"/>
        <v>42705</v>
      </c>
      <c r="AX130" s="80">
        <f t="shared" si="43"/>
        <v>1779.375</v>
      </c>
      <c r="AY130" s="326">
        <f t="shared" si="34"/>
        <v>17680.816666666666</v>
      </c>
      <c r="AZ130" s="80">
        <f t="shared" si="35"/>
        <v>18659.341666666667</v>
      </c>
    </row>
    <row r="131" spans="1:52">
      <c r="A131" s="94" t="s">
        <v>561</v>
      </c>
      <c r="B131" s="100" t="s">
        <v>682</v>
      </c>
      <c r="C131" s="222">
        <v>138983</v>
      </c>
      <c r="D131" s="104">
        <v>5</v>
      </c>
      <c r="E131" s="162" t="s">
        <v>442</v>
      </c>
      <c r="F131" s="163" t="s">
        <v>442</v>
      </c>
      <c r="G131" s="79"/>
      <c r="H131" s="322"/>
      <c r="I131" s="79">
        <f>43715+18203</f>
        <v>61918</v>
      </c>
      <c r="J131" s="322">
        <f>42809+18165</f>
        <v>60974</v>
      </c>
      <c r="K131" s="79">
        <f>12260+4799</f>
        <v>17059</v>
      </c>
      <c r="L131" s="322">
        <f>11956+4857</f>
        <v>16813</v>
      </c>
      <c r="M131" s="79">
        <f>48261+17929</f>
        <v>66190</v>
      </c>
      <c r="N131" s="322">
        <f>48182+17687</f>
        <v>65869</v>
      </c>
      <c r="O131" s="323">
        <f t="shared" si="22"/>
        <v>145167</v>
      </c>
      <c r="P131" s="638">
        <f t="shared" si="36"/>
        <v>0</v>
      </c>
      <c r="Q131" s="639" t="s">
        <v>949</v>
      </c>
      <c r="R131" s="90">
        <f t="shared" si="40"/>
        <v>4838.8999999999996</v>
      </c>
      <c r="S131" s="324">
        <f t="shared" si="24"/>
        <v>143656</v>
      </c>
      <c r="T131" s="638">
        <f t="shared" si="37"/>
        <v>143656</v>
      </c>
      <c r="U131" s="535">
        <v>736</v>
      </c>
      <c r="V131" s="80">
        <f t="shared" si="41"/>
        <v>4788.5333333333338</v>
      </c>
      <c r="W131" s="79"/>
      <c r="X131" s="322"/>
      <c r="Y131" s="79"/>
      <c r="Z131" s="322"/>
      <c r="AA131" s="79"/>
      <c r="AB131" s="322"/>
      <c r="AC131" s="79"/>
      <c r="AD131" s="322"/>
      <c r="AE131" s="323">
        <f t="shared" si="26"/>
        <v>0</v>
      </c>
      <c r="AF131" s="638">
        <f t="shared" si="38"/>
        <v>0</v>
      </c>
      <c r="AG131" s="322"/>
      <c r="AH131" s="90">
        <f t="shared" si="27"/>
        <v>0</v>
      </c>
      <c r="AI131" s="80">
        <f t="shared" si="28"/>
        <v>0</v>
      </c>
      <c r="AJ131" s="638">
        <f t="shared" si="39"/>
        <v>0</v>
      </c>
      <c r="AK131" s="322"/>
      <c r="AL131" s="80">
        <f t="shared" si="29"/>
        <v>0</v>
      </c>
      <c r="AM131" s="79"/>
      <c r="AN131" s="322"/>
      <c r="AO131" s="79">
        <v>4430</v>
      </c>
      <c r="AP131" s="322">
        <v>5974</v>
      </c>
      <c r="AQ131" s="79">
        <v>4789</v>
      </c>
      <c r="AR131" s="322">
        <v>5910</v>
      </c>
      <c r="AS131" s="79">
        <v>5837</v>
      </c>
      <c r="AT131" s="322">
        <v>6756</v>
      </c>
      <c r="AU131" s="325">
        <f t="shared" si="30"/>
        <v>15056</v>
      </c>
      <c r="AV131" s="90">
        <f t="shared" si="42"/>
        <v>627.33333333333337</v>
      </c>
      <c r="AW131" s="324">
        <f t="shared" si="32"/>
        <v>18640</v>
      </c>
      <c r="AX131" s="80">
        <f t="shared" si="43"/>
        <v>776.66666666666663</v>
      </c>
      <c r="AY131" s="326">
        <f t="shared" si="34"/>
        <v>5466.2333333333327</v>
      </c>
      <c r="AZ131" s="80">
        <f t="shared" si="35"/>
        <v>5565.2000000000007</v>
      </c>
    </row>
    <row r="132" spans="1:52">
      <c r="A132" s="94" t="s">
        <v>561</v>
      </c>
      <c r="B132" s="375" t="s">
        <v>683</v>
      </c>
      <c r="C132" s="222">
        <v>139719</v>
      </c>
      <c r="D132" s="104">
        <v>5</v>
      </c>
      <c r="E132" s="162" t="s">
        <v>442</v>
      </c>
      <c r="F132" s="163" t="s">
        <v>442</v>
      </c>
      <c r="G132" s="79"/>
      <c r="H132" s="322"/>
      <c r="I132" s="79">
        <f>20336+8342</f>
        <v>28678</v>
      </c>
      <c r="J132" s="322">
        <f>23034+7931</f>
        <v>30965</v>
      </c>
      <c r="K132" s="79">
        <f>5107+2417</f>
        <v>7524</v>
      </c>
      <c r="L132" s="322">
        <f>5072+2170</f>
        <v>7242</v>
      </c>
      <c r="M132" s="79">
        <f>25644+7629</f>
        <v>33273</v>
      </c>
      <c r="N132" s="322">
        <f>32690+7575</f>
        <v>40265</v>
      </c>
      <c r="O132" s="323">
        <f t="shared" ref="O132:O195" si="44">SUM(G132,I132,K132,M132)</f>
        <v>69475</v>
      </c>
      <c r="P132" s="638">
        <f t="shared" si="36"/>
        <v>0</v>
      </c>
      <c r="Q132" s="639" t="s">
        <v>949</v>
      </c>
      <c r="R132" s="90">
        <f t="shared" ref="R132:R151" si="45">+O132/30</f>
        <v>2315.8333333333335</v>
      </c>
      <c r="S132" s="324">
        <f t="shared" ref="S132:S195" si="46">SUM(H132,J132,L132,N132)</f>
        <v>78472</v>
      </c>
      <c r="T132" s="638">
        <f t="shared" si="37"/>
        <v>78472</v>
      </c>
      <c r="U132" s="535">
        <v>105</v>
      </c>
      <c r="V132" s="80">
        <f t="shared" ref="V132:V151" si="47">+S132/30</f>
        <v>2615.7333333333331</v>
      </c>
      <c r="W132" s="79"/>
      <c r="X132" s="322"/>
      <c r="Y132" s="79"/>
      <c r="Z132" s="322"/>
      <c r="AA132" s="79"/>
      <c r="AB132" s="322"/>
      <c r="AC132" s="79"/>
      <c r="AD132" s="322"/>
      <c r="AE132" s="323">
        <f t="shared" ref="AE132:AE195" si="48">SUM(W132,Y132,AA132,AC132)</f>
        <v>0</v>
      </c>
      <c r="AF132" s="638">
        <f t="shared" si="38"/>
        <v>0</v>
      </c>
      <c r="AG132" s="322"/>
      <c r="AH132" s="90">
        <f t="shared" ref="AH132:AH195" si="49">+AE132/900</f>
        <v>0</v>
      </c>
      <c r="AI132" s="80">
        <f t="shared" ref="AI132:AI195" si="50">SUM(X132,Z132,AB132,AD132)</f>
        <v>0</v>
      </c>
      <c r="AJ132" s="638">
        <f t="shared" si="39"/>
        <v>0</v>
      </c>
      <c r="AK132" s="322"/>
      <c r="AL132" s="80">
        <f t="shared" ref="AL132:AL195" si="51">+AI132/900</f>
        <v>0</v>
      </c>
      <c r="AM132" s="79"/>
      <c r="AN132" s="322"/>
      <c r="AO132" s="79">
        <v>673</v>
      </c>
      <c r="AP132" s="322">
        <v>748</v>
      </c>
      <c r="AQ132" s="79">
        <v>261</v>
      </c>
      <c r="AR132" s="322">
        <v>398</v>
      </c>
      <c r="AS132" s="79">
        <v>526</v>
      </c>
      <c r="AT132" s="322">
        <v>983</v>
      </c>
      <c r="AU132" s="325">
        <f t="shared" ref="AU132:AU195" si="52">SUM(AM132,AO132,AQ132,AS132)</f>
        <v>1460</v>
      </c>
      <c r="AV132" s="90">
        <f t="shared" ref="AV132:AV151" si="53">+AU132/24</f>
        <v>60.833333333333336</v>
      </c>
      <c r="AW132" s="324">
        <f t="shared" ref="AW132:AW195" si="54">SUM(AN132,AP132,AR132,AT132)</f>
        <v>2129</v>
      </c>
      <c r="AX132" s="80">
        <f t="shared" ref="AX132:AX151" si="55">+AW132/24</f>
        <v>88.708333333333329</v>
      </c>
      <c r="AY132" s="326">
        <f t="shared" ref="AY132:AY195" si="56">SUM(R132,AH132,AV132)</f>
        <v>2376.666666666667</v>
      </c>
      <c r="AZ132" s="80">
        <f t="shared" ref="AZ132:AZ195" si="57">SUM(V132,AL132,AX132)</f>
        <v>2704.4416666666666</v>
      </c>
    </row>
    <row r="133" spans="1:52">
      <c r="A133" s="94" t="s">
        <v>561</v>
      </c>
      <c r="B133" s="100" t="s">
        <v>684</v>
      </c>
      <c r="C133" s="222">
        <v>139764</v>
      </c>
      <c r="D133" s="104">
        <v>5</v>
      </c>
      <c r="E133" s="162" t="s">
        <v>442</v>
      </c>
      <c r="F133" s="163" t="s">
        <v>442</v>
      </c>
      <c r="G133" s="79"/>
      <c r="H133" s="322"/>
      <c r="I133" s="79">
        <f>14457+10858</f>
        <v>25315</v>
      </c>
      <c r="J133" s="322">
        <f>14613+10536</f>
        <v>25149</v>
      </c>
      <c r="K133" s="79">
        <f>3766+4237</f>
        <v>8003</v>
      </c>
      <c r="L133" s="322">
        <f>4225+4551</f>
        <v>8776</v>
      </c>
      <c r="M133" s="79">
        <f>16281+10930</f>
        <v>27211</v>
      </c>
      <c r="N133" s="322">
        <f>17840+11120</f>
        <v>28960</v>
      </c>
      <c r="O133" s="323">
        <f t="shared" si="44"/>
        <v>60529</v>
      </c>
      <c r="P133" s="638">
        <f t="shared" ref="P133:P196" si="58">IF(Q133="—",0,O133)</f>
        <v>0</v>
      </c>
      <c r="Q133" s="639" t="s">
        <v>949</v>
      </c>
      <c r="R133" s="90">
        <f t="shared" si="45"/>
        <v>2017.6333333333334</v>
      </c>
      <c r="S133" s="324">
        <f t="shared" si="46"/>
        <v>62885</v>
      </c>
      <c r="T133" s="638">
        <f t="shared" ref="T133:T196" si="59">IF(U133="—",0,S133)</f>
        <v>62885</v>
      </c>
      <c r="U133" s="535">
        <v>401</v>
      </c>
      <c r="V133" s="80">
        <f t="shared" si="47"/>
        <v>2096.1666666666665</v>
      </c>
      <c r="W133" s="79"/>
      <c r="X133" s="322"/>
      <c r="Y133" s="79"/>
      <c r="Z133" s="322"/>
      <c r="AA133" s="79"/>
      <c r="AB133" s="322"/>
      <c r="AC133" s="79"/>
      <c r="AD133" s="322"/>
      <c r="AE133" s="323">
        <f t="shared" si="48"/>
        <v>0</v>
      </c>
      <c r="AF133" s="638">
        <f t="shared" ref="AF133:AF196" si="60">IF(AG133="—",0,AE133)</f>
        <v>0</v>
      </c>
      <c r="AG133" s="322"/>
      <c r="AH133" s="90">
        <f t="shared" si="49"/>
        <v>0</v>
      </c>
      <c r="AI133" s="80">
        <f t="shared" si="50"/>
        <v>0</v>
      </c>
      <c r="AJ133" s="638">
        <f t="shared" ref="AJ133:AJ196" si="61">IF(AK133="—",0,AI133)</f>
        <v>0</v>
      </c>
      <c r="AK133" s="322"/>
      <c r="AL133" s="80">
        <f t="shared" si="51"/>
        <v>0</v>
      </c>
      <c r="AM133" s="79"/>
      <c r="AN133" s="322"/>
      <c r="AO133" s="79">
        <v>1575</v>
      </c>
      <c r="AP133" s="322">
        <v>1053</v>
      </c>
      <c r="AQ133" s="79">
        <v>1248</v>
      </c>
      <c r="AR133" s="322">
        <v>1029</v>
      </c>
      <c r="AS133" s="79">
        <v>1227</v>
      </c>
      <c r="AT133" s="322">
        <v>2418</v>
      </c>
      <c r="AU133" s="325">
        <f t="shared" si="52"/>
        <v>4050</v>
      </c>
      <c r="AV133" s="90">
        <f t="shared" si="53"/>
        <v>168.75</v>
      </c>
      <c r="AW133" s="324">
        <f t="shared" si="54"/>
        <v>4500</v>
      </c>
      <c r="AX133" s="80">
        <f t="shared" si="55"/>
        <v>187.5</v>
      </c>
      <c r="AY133" s="326">
        <f t="shared" si="56"/>
        <v>2186.3833333333332</v>
      </c>
      <c r="AZ133" s="80">
        <f t="shared" si="57"/>
        <v>2283.6666666666665</v>
      </c>
    </row>
    <row r="134" spans="1:52">
      <c r="A134" s="94" t="s">
        <v>561</v>
      </c>
      <c r="B134" s="100" t="s">
        <v>686</v>
      </c>
      <c r="C134" s="222">
        <v>140669</v>
      </c>
      <c r="D134" s="104">
        <v>5</v>
      </c>
      <c r="E134" s="162" t="s">
        <v>442</v>
      </c>
      <c r="F134" s="163" t="s">
        <v>442</v>
      </c>
      <c r="G134" s="79"/>
      <c r="H134" s="322"/>
      <c r="I134" s="79">
        <f>32495+20531</f>
        <v>53026</v>
      </c>
      <c r="J134" s="322">
        <f>33988+22570</f>
        <v>56558</v>
      </c>
      <c r="K134" s="79">
        <f>5111+7218</f>
        <v>12329</v>
      </c>
      <c r="L134" s="322">
        <f>5363+6322</f>
        <v>11685</v>
      </c>
      <c r="M134" s="79">
        <f>39051+21132</f>
        <v>60183</v>
      </c>
      <c r="N134" s="322">
        <f>39982+21518</f>
        <v>61500</v>
      </c>
      <c r="O134" s="323">
        <f t="shared" si="44"/>
        <v>125538</v>
      </c>
      <c r="P134" s="638">
        <f t="shared" si="58"/>
        <v>0</v>
      </c>
      <c r="Q134" s="639" t="s">
        <v>949</v>
      </c>
      <c r="R134" s="90">
        <f t="shared" si="45"/>
        <v>4184.6000000000004</v>
      </c>
      <c r="S134" s="324">
        <f t="shared" si="46"/>
        <v>129743</v>
      </c>
      <c r="T134" s="638">
        <f t="shared" si="59"/>
        <v>129743</v>
      </c>
      <c r="U134" s="535">
        <v>189</v>
      </c>
      <c r="V134" s="80">
        <f t="shared" si="47"/>
        <v>4324.7666666666664</v>
      </c>
      <c r="W134" s="79"/>
      <c r="X134" s="322"/>
      <c r="Y134" s="79"/>
      <c r="Z134" s="322"/>
      <c r="AA134" s="79"/>
      <c r="AB134" s="322"/>
      <c r="AC134" s="79"/>
      <c r="AD134" s="322"/>
      <c r="AE134" s="323">
        <f t="shared" si="48"/>
        <v>0</v>
      </c>
      <c r="AF134" s="638">
        <f t="shared" si="60"/>
        <v>0</v>
      </c>
      <c r="AG134" s="322"/>
      <c r="AH134" s="90">
        <f t="shared" si="49"/>
        <v>0</v>
      </c>
      <c r="AI134" s="80">
        <f t="shared" si="50"/>
        <v>0</v>
      </c>
      <c r="AJ134" s="638">
        <f t="shared" si="61"/>
        <v>0</v>
      </c>
      <c r="AK134" s="322"/>
      <c r="AL134" s="80">
        <f t="shared" si="51"/>
        <v>0</v>
      </c>
      <c r="AM134" s="79"/>
      <c r="AN134" s="322"/>
      <c r="AO134" s="79">
        <v>3196</v>
      </c>
      <c r="AP134" s="322">
        <v>3821</v>
      </c>
      <c r="AQ134" s="79">
        <v>4443</v>
      </c>
      <c r="AR134" s="322">
        <v>4234</v>
      </c>
      <c r="AS134" s="79">
        <v>3485</v>
      </c>
      <c r="AT134" s="322">
        <v>3847</v>
      </c>
      <c r="AU134" s="325">
        <f t="shared" si="52"/>
        <v>11124</v>
      </c>
      <c r="AV134" s="90">
        <f t="shared" si="53"/>
        <v>463.5</v>
      </c>
      <c r="AW134" s="324">
        <f t="shared" si="54"/>
        <v>11902</v>
      </c>
      <c r="AX134" s="80">
        <f t="shared" si="55"/>
        <v>495.91666666666669</v>
      </c>
      <c r="AY134" s="326">
        <f t="shared" si="56"/>
        <v>4648.1000000000004</v>
      </c>
      <c r="AZ134" s="80">
        <f t="shared" si="57"/>
        <v>4820.6833333333334</v>
      </c>
    </row>
    <row r="135" spans="1:52">
      <c r="A135" s="94" t="s">
        <v>561</v>
      </c>
      <c r="B135" s="100" t="s">
        <v>687</v>
      </c>
      <c r="C135" s="222">
        <v>140960</v>
      </c>
      <c r="D135" s="104">
        <v>5</v>
      </c>
      <c r="E135" s="162" t="s">
        <v>442</v>
      </c>
      <c r="F135" s="163" t="s">
        <v>442</v>
      </c>
      <c r="G135" s="79"/>
      <c r="H135" s="322"/>
      <c r="I135" s="79">
        <f>28702+11651</f>
        <v>40353</v>
      </c>
      <c r="J135" s="322">
        <f>27535+10348</f>
        <v>37883</v>
      </c>
      <c r="K135" s="79">
        <f>6646+2465</f>
        <v>9111</v>
      </c>
      <c r="L135" s="322">
        <f>7001+2231</f>
        <v>9232</v>
      </c>
      <c r="M135" s="79">
        <f>28172+9878</f>
        <v>38050</v>
      </c>
      <c r="N135" s="322">
        <f>34218+10711</f>
        <v>44929</v>
      </c>
      <c r="O135" s="323">
        <f t="shared" si="44"/>
        <v>87514</v>
      </c>
      <c r="P135" s="638">
        <f t="shared" si="58"/>
        <v>0</v>
      </c>
      <c r="Q135" s="639" t="s">
        <v>949</v>
      </c>
      <c r="R135" s="90">
        <f t="shared" si="45"/>
        <v>2917.1333333333332</v>
      </c>
      <c r="S135" s="324">
        <f t="shared" si="46"/>
        <v>92044</v>
      </c>
      <c r="T135" s="638">
        <f t="shared" si="59"/>
        <v>92044</v>
      </c>
      <c r="U135" s="535">
        <v>221</v>
      </c>
      <c r="V135" s="80">
        <f t="shared" si="47"/>
        <v>3068.1333333333332</v>
      </c>
      <c r="W135" s="79"/>
      <c r="X135" s="322"/>
      <c r="Y135" s="79"/>
      <c r="Z135" s="322"/>
      <c r="AA135" s="79"/>
      <c r="AB135" s="322"/>
      <c r="AC135" s="79"/>
      <c r="AD135" s="322"/>
      <c r="AE135" s="323">
        <f t="shared" si="48"/>
        <v>0</v>
      </c>
      <c r="AF135" s="638">
        <f t="shared" si="60"/>
        <v>0</v>
      </c>
      <c r="AG135" s="322"/>
      <c r="AH135" s="90">
        <f t="shared" si="49"/>
        <v>0</v>
      </c>
      <c r="AI135" s="80">
        <f t="shared" si="50"/>
        <v>0</v>
      </c>
      <c r="AJ135" s="638">
        <f t="shared" si="61"/>
        <v>0</v>
      </c>
      <c r="AK135" s="322"/>
      <c r="AL135" s="80">
        <f t="shared" si="51"/>
        <v>0</v>
      </c>
      <c r="AM135" s="79"/>
      <c r="AN135" s="322"/>
      <c r="AO135" s="79">
        <v>1095</v>
      </c>
      <c r="AP135" s="322">
        <v>1055</v>
      </c>
      <c r="AQ135" s="79">
        <v>336</v>
      </c>
      <c r="AR135" s="322">
        <v>357</v>
      </c>
      <c r="AS135" s="79">
        <v>1009</v>
      </c>
      <c r="AT135" s="322">
        <v>967</v>
      </c>
      <c r="AU135" s="325">
        <f t="shared" si="52"/>
        <v>2440</v>
      </c>
      <c r="AV135" s="90">
        <f t="shared" si="53"/>
        <v>101.66666666666667</v>
      </c>
      <c r="AW135" s="324">
        <f t="shared" si="54"/>
        <v>2379</v>
      </c>
      <c r="AX135" s="80">
        <f t="shared" si="55"/>
        <v>99.125</v>
      </c>
      <c r="AY135" s="326">
        <f t="shared" si="56"/>
        <v>3018.7999999999997</v>
      </c>
      <c r="AZ135" s="80">
        <f t="shared" si="57"/>
        <v>3167.2583333333332</v>
      </c>
    </row>
    <row r="136" spans="1:52">
      <c r="A136" s="94" t="s">
        <v>561</v>
      </c>
      <c r="B136" s="102" t="s">
        <v>688</v>
      </c>
      <c r="C136" s="222">
        <v>139311</v>
      </c>
      <c r="D136" s="104">
        <v>6</v>
      </c>
      <c r="E136" s="162" t="s">
        <v>442</v>
      </c>
      <c r="F136" s="163" t="s">
        <v>442</v>
      </c>
      <c r="G136" s="79"/>
      <c r="H136" s="322"/>
      <c r="I136" s="79">
        <f>39870+21559</f>
        <v>61429</v>
      </c>
      <c r="J136" s="322">
        <f>38495+23418</f>
        <v>61913</v>
      </c>
      <c r="K136" s="79">
        <f>13966+8618</f>
        <v>22584</v>
      </c>
      <c r="L136" s="322">
        <f>13963+9310</f>
        <v>23273</v>
      </c>
      <c r="M136" s="79">
        <f>40765+22174</f>
        <v>62939</v>
      </c>
      <c r="N136" s="322">
        <f>39424+24256</f>
        <v>63680</v>
      </c>
      <c r="O136" s="323">
        <f t="shared" si="44"/>
        <v>146952</v>
      </c>
      <c r="P136" s="638">
        <f t="shared" si="58"/>
        <v>0</v>
      </c>
      <c r="Q136" s="639" t="s">
        <v>949</v>
      </c>
      <c r="R136" s="90">
        <f t="shared" si="45"/>
        <v>4898.3999999999996</v>
      </c>
      <c r="S136" s="324">
        <f t="shared" si="46"/>
        <v>148866</v>
      </c>
      <c r="T136" s="638">
        <f t="shared" si="59"/>
        <v>148866</v>
      </c>
      <c r="U136" s="535">
        <v>2599</v>
      </c>
      <c r="V136" s="80">
        <f t="shared" si="47"/>
        <v>4962.2</v>
      </c>
      <c r="W136" s="79"/>
      <c r="X136" s="322"/>
      <c r="Y136" s="79"/>
      <c r="Z136" s="322"/>
      <c r="AA136" s="79"/>
      <c r="AB136" s="322"/>
      <c r="AC136" s="79"/>
      <c r="AD136" s="322"/>
      <c r="AE136" s="323">
        <f t="shared" si="48"/>
        <v>0</v>
      </c>
      <c r="AF136" s="638">
        <f t="shared" si="60"/>
        <v>0</v>
      </c>
      <c r="AG136" s="322"/>
      <c r="AH136" s="90">
        <f t="shared" si="49"/>
        <v>0</v>
      </c>
      <c r="AI136" s="80">
        <f t="shared" si="50"/>
        <v>0</v>
      </c>
      <c r="AJ136" s="638">
        <f t="shared" si="61"/>
        <v>0</v>
      </c>
      <c r="AK136" s="322"/>
      <c r="AL136" s="80">
        <f t="shared" si="51"/>
        <v>0</v>
      </c>
      <c r="AM136" s="79"/>
      <c r="AN136" s="322"/>
      <c r="AO136" s="79">
        <v>111</v>
      </c>
      <c r="AP136" s="322">
        <v>826</v>
      </c>
      <c r="AQ136" s="79">
        <v>57</v>
      </c>
      <c r="AR136" s="322">
        <v>510</v>
      </c>
      <c r="AS136" s="79">
        <v>462</v>
      </c>
      <c r="AT136" s="322">
        <v>1164</v>
      </c>
      <c r="AU136" s="325">
        <f t="shared" si="52"/>
        <v>630</v>
      </c>
      <c r="AV136" s="90">
        <f t="shared" si="53"/>
        <v>26.25</v>
      </c>
      <c r="AW136" s="324">
        <f t="shared" si="54"/>
        <v>2500</v>
      </c>
      <c r="AX136" s="80">
        <f t="shared" si="55"/>
        <v>104.16666666666667</v>
      </c>
      <c r="AY136" s="326">
        <f t="shared" si="56"/>
        <v>4924.6499999999996</v>
      </c>
      <c r="AZ136" s="80">
        <f t="shared" si="57"/>
        <v>5066.3666666666668</v>
      </c>
    </row>
    <row r="137" spans="1:52">
      <c r="A137" s="94" t="s">
        <v>561</v>
      </c>
      <c r="B137" s="101" t="s">
        <v>690</v>
      </c>
      <c r="C137" s="223">
        <v>140322</v>
      </c>
      <c r="D137" s="348">
        <v>6</v>
      </c>
      <c r="E137" s="162" t="s">
        <v>442</v>
      </c>
      <c r="F137" s="163" t="s">
        <v>442</v>
      </c>
      <c r="G137" s="79"/>
      <c r="H137" s="322"/>
      <c r="I137" s="79">
        <f>47645+11549</f>
        <v>59194</v>
      </c>
      <c r="J137" s="322">
        <f>47440+11563</f>
        <v>59003</v>
      </c>
      <c r="K137" s="79">
        <f>19524+5611</f>
        <v>25135</v>
      </c>
      <c r="L137" s="322">
        <f>17361+6559</f>
        <v>23920</v>
      </c>
      <c r="M137" s="79">
        <f>50465+12541</f>
        <v>63006</v>
      </c>
      <c r="N137" s="322">
        <f>49489+14034</f>
        <v>63523</v>
      </c>
      <c r="O137" s="323">
        <f t="shared" si="44"/>
        <v>147335</v>
      </c>
      <c r="P137" s="638">
        <f t="shared" si="58"/>
        <v>0</v>
      </c>
      <c r="Q137" s="639" t="s">
        <v>949</v>
      </c>
      <c r="R137" s="90">
        <f t="shared" si="45"/>
        <v>4911.166666666667</v>
      </c>
      <c r="S137" s="324">
        <f t="shared" si="46"/>
        <v>146446</v>
      </c>
      <c r="T137" s="638">
        <f t="shared" si="59"/>
        <v>146446</v>
      </c>
      <c r="U137" s="535">
        <v>794</v>
      </c>
      <c r="V137" s="80">
        <f t="shared" si="47"/>
        <v>4881.5333333333338</v>
      </c>
      <c r="W137" s="79"/>
      <c r="X137" s="322"/>
      <c r="Y137" s="79"/>
      <c r="Z137" s="322"/>
      <c r="AA137" s="79"/>
      <c r="AB137" s="322"/>
      <c r="AC137" s="79"/>
      <c r="AD137" s="322"/>
      <c r="AE137" s="323">
        <f t="shared" si="48"/>
        <v>0</v>
      </c>
      <c r="AF137" s="638">
        <f t="shared" si="60"/>
        <v>0</v>
      </c>
      <c r="AG137" s="322"/>
      <c r="AH137" s="90">
        <f t="shared" si="49"/>
        <v>0</v>
      </c>
      <c r="AI137" s="80">
        <f t="shared" si="50"/>
        <v>0</v>
      </c>
      <c r="AJ137" s="638">
        <f t="shared" si="61"/>
        <v>0</v>
      </c>
      <c r="AK137" s="322"/>
      <c r="AL137" s="80">
        <f t="shared" si="51"/>
        <v>0</v>
      </c>
      <c r="AM137" s="79"/>
      <c r="AN137" s="322"/>
      <c r="AO137" s="79"/>
      <c r="AP137" s="322"/>
      <c r="AQ137" s="79"/>
      <c r="AR137" s="322"/>
      <c r="AS137" s="79"/>
      <c r="AT137" s="322"/>
      <c r="AU137" s="325">
        <f t="shared" si="52"/>
        <v>0</v>
      </c>
      <c r="AV137" s="90">
        <f t="shared" si="53"/>
        <v>0</v>
      </c>
      <c r="AW137" s="324">
        <f t="shared" si="54"/>
        <v>0</v>
      </c>
      <c r="AX137" s="80">
        <f t="shared" si="55"/>
        <v>0</v>
      </c>
      <c r="AY137" s="326">
        <f t="shared" si="56"/>
        <v>4911.166666666667</v>
      </c>
      <c r="AZ137" s="80">
        <f t="shared" si="57"/>
        <v>4881.5333333333338</v>
      </c>
    </row>
    <row r="138" spans="1:52">
      <c r="A138" s="94" t="s">
        <v>561</v>
      </c>
      <c r="B138" s="100" t="s">
        <v>689</v>
      </c>
      <c r="C138" s="222">
        <v>139463</v>
      </c>
      <c r="D138" s="104">
        <v>7</v>
      </c>
      <c r="E138" s="162" t="s">
        <v>442</v>
      </c>
      <c r="F138" s="163" t="s">
        <v>442</v>
      </c>
      <c r="G138" s="79"/>
      <c r="H138" s="322"/>
      <c r="I138" s="79">
        <f>35481+3148</f>
        <v>38629</v>
      </c>
      <c r="J138" s="322">
        <f>38112+3840</f>
        <v>41952</v>
      </c>
      <c r="K138" s="79">
        <f>10310+849</f>
        <v>11159</v>
      </c>
      <c r="L138" s="322">
        <f>11129+1065</f>
        <v>12194</v>
      </c>
      <c r="M138" s="79">
        <f>41214+4343</f>
        <v>45557</v>
      </c>
      <c r="N138" s="322">
        <f>45943+5023</f>
        <v>50966</v>
      </c>
      <c r="O138" s="323">
        <f t="shared" si="44"/>
        <v>95345</v>
      </c>
      <c r="P138" s="638">
        <f t="shared" si="58"/>
        <v>0</v>
      </c>
      <c r="Q138" s="639" t="s">
        <v>949</v>
      </c>
      <c r="R138" s="90">
        <f t="shared" si="45"/>
        <v>3178.1666666666665</v>
      </c>
      <c r="S138" s="324">
        <f t="shared" si="46"/>
        <v>105112</v>
      </c>
      <c r="T138" s="638">
        <f t="shared" si="59"/>
        <v>105112</v>
      </c>
      <c r="U138" s="535">
        <v>906</v>
      </c>
      <c r="V138" s="80">
        <f t="shared" si="47"/>
        <v>3503.7333333333331</v>
      </c>
      <c r="W138" s="79"/>
      <c r="X138" s="322"/>
      <c r="Y138" s="79"/>
      <c r="Z138" s="322"/>
      <c r="AA138" s="79"/>
      <c r="AB138" s="322"/>
      <c r="AC138" s="79"/>
      <c r="AD138" s="322"/>
      <c r="AE138" s="323">
        <f t="shared" si="48"/>
        <v>0</v>
      </c>
      <c r="AF138" s="638">
        <f t="shared" si="60"/>
        <v>0</v>
      </c>
      <c r="AG138" s="322"/>
      <c r="AH138" s="90">
        <f t="shared" si="49"/>
        <v>0</v>
      </c>
      <c r="AI138" s="80">
        <f t="shared" si="50"/>
        <v>0</v>
      </c>
      <c r="AJ138" s="638">
        <f t="shared" si="61"/>
        <v>0</v>
      </c>
      <c r="AK138" s="322"/>
      <c r="AL138" s="80">
        <f t="shared" si="51"/>
        <v>0</v>
      </c>
      <c r="AM138" s="79"/>
      <c r="AN138" s="322"/>
      <c r="AO138" s="79"/>
      <c r="AP138" s="322"/>
      <c r="AQ138" s="79"/>
      <c r="AR138" s="322"/>
      <c r="AS138" s="79"/>
      <c r="AT138" s="322"/>
      <c r="AU138" s="325">
        <f t="shared" si="52"/>
        <v>0</v>
      </c>
      <c r="AV138" s="90">
        <f t="shared" si="53"/>
        <v>0</v>
      </c>
      <c r="AW138" s="324">
        <f t="shared" si="54"/>
        <v>0</v>
      </c>
      <c r="AX138" s="80">
        <f t="shared" si="55"/>
        <v>0</v>
      </c>
      <c r="AY138" s="326">
        <f t="shared" si="56"/>
        <v>3178.1666666666665</v>
      </c>
      <c r="AZ138" s="80">
        <f t="shared" si="57"/>
        <v>3503.7333333333331</v>
      </c>
    </row>
    <row r="139" spans="1:52">
      <c r="A139" s="94" t="s">
        <v>561</v>
      </c>
      <c r="B139" s="100" t="s">
        <v>691</v>
      </c>
      <c r="C139" s="222">
        <v>244437</v>
      </c>
      <c r="D139" s="104">
        <v>8</v>
      </c>
      <c r="E139" s="162" t="s">
        <v>442</v>
      </c>
      <c r="F139" s="163" t="s">
        <v>442</v>
      </c>
      <c r="G139" s="79"/>
      <c r="H139" s="322"/>
      <c r="I139" s="79">
        <v>200436</v>
      </c>
      <c r="J139" s="322">
        <v>202370</v>
      </c>
      <c r="K139" s="79">
        <v>79495</v>
      </c>
      <c r="L139" s="322">
        <v>79386</v>
      </c>
      <c r="M139" s="79">
        <v>204417</v>
      </c>
      <c r="N139" s="322">
        <v>215707</v>
      </c>
      <c r="O139" s="323">
        <f t="shared" si="44"/>
        <v>484348</v>
      </c>
      <c r="P139" s="638">
        <f t="shared" si="58"/>
        <v>0</v>
      </c>
      <c r="Q139" s="639" t="s">
        <v>949</v>
      </c>
      <c r="R139" s="90">
        <f t="shared" si="45"/>
        <v>16144.933333333332</v>
      </c>
      <c r="S139" s="324">
        <f t="shared" si="46"/>
        <v>497463</v>
      </c>
      <c r="T139" s="638">
        <f t="shared" si="59"/>
        <v>497463</v>
      </c>
      <c r="U139" s="535">
        <v>9330</v>
      </c>
      <c r="V139" s="80">
        <f t="shared" si="47"/>
        <v>16582.099999999999</v>
      </c>
      <c r="W139" s="79"/>
      <c r="X139" s="322"/>
      <c r="Y139" s="79"/>
      <c r="Z139" s="322"/>
      <c r="AA139" s="79"/>
      <c r="AB139" s="322"/>
      <c r="AC139" s="79"/>
      <c r="AD139" s="322"/>
      <c r="AE139" s="323">
        <f t="shared" si="48"/>
        <v>0</v>
      </c>
      <c r="AF139" s="638">
        <f t="shared" si="60"/>
        <v>0</v>
      </c>
      <c r="AG139" s="322"/>
      <c r="AH139" s="90">
        <f t="shared" si="49"/>
        <v>0</v>
      </c>
      <c r="AI139" s="80">
        <f t="shared" si="50"/>
        <v>0</v>
      </c>
      <c r="AJ139" s="638">
        <f t="shared" si="61"/>
        <v>0</v>
      </c>
      <c r="AK139" s="322"/>
      <c r="AL139" s="80">
        <f t="shared" si="51"/>
        <v>0</v>
      </c>
      <c r="AM139" s="79"/>
      <c r="AN139" s="322"/>
      <c r="AO139" s="79"/>
      <c r="AP139" s="322"/>
      <c r="AQ139" s="79"/>
      <c r="AR139" s="322"/>
      <c r="AS139" s="79"/>
      <c r="AT139" s="322"/>
      <c r="AU139" s="325">
        <f t="shared" si="52"/>
        <v>0</v>
      </c>
      <c r="AV139" s="90">
        <f t="shared" si="53"/>
        <v>0</v>
      </c>
      <c r="AW139" s="324">
        <f t="shared" si="54"/>
        <v>0</v>
      </c>
      <c r="AX139" s="80">
        <f t="shared" si="55"/>
        <v>0</v>
      </c>
      <c r="AY139" s="326">
        <f t="shared" si="56"/>
        <v>16144.933333333332</v>
      </c>
      <c r="AZ139" s="80">
        <f t="shared" si="57"/>
        <v>16582.099999999999</v>
      </c>
    </row>
    <row r="140" spans="1:52">
      <c r="A140" s="94" t="s">
        <v>561</v>
      </c>
      <c r="B140" s="100" t="s">
        <v>692</v>
      </c>
      <c r="C140" s="222">
        <v>138558</v>
      </c>
      <c r="D140" s="104">
        <v>9</v>
      </c>
      <c r="E140" s="162" t="s">
        <v>442</v>
      </c>
      <c r="F140" s="163" t="s">
        <v>442</v>
      </c>
      <c r="G140" s="79"/>
      <c r="H140" s="322"/>
      <c r="I140" s="79">
        <v>35510</v>
      </c>
      <c r="J140" s="322">
        <f>36349+203</f>
        <v>36552</v>
      </c>
      <c r="K140" s="79">
        <v>8666</v>
      </c>
      <c r="L140" s="322">
        <f>7651+20</f>
        <v>7671</v>
      </c>
      <c r="M140" s="79">
        <v>42125</v>
      </c>
      <c r="N140" s="322">
        <f>41634+364</f>
        <v>41998</v>
      </c>
      <c r="O140" s="323">
        <f t="shared" si="44"/>
        <v>86301</v>
      </c>
      <c r="P140" s="638">
        <f t="shared" si="58"/>
        <v>0</v>
      </c>
      <c r="Q140" s="639" t="s">
        <v>949</v>
      </c>
      <c r="R140" s="90">
        <f t="shared" si="45"/>
        <v>2876.7</v>
      </c>
      <c r="S140" s="324">
        <f t="shared" si="46"/>
        <v>86221</v>
      </c>
      <c r="T140" s="638">
        <f t="shared" si="59"/>
        <v>86221</v>
      </c>
      <c r="U140" s="535">
        <v>399</v>
      </c>
      <c r="V140" s="80">
        <f t="shared" si="47"/>
        <v>2874.0333333333333</v>
      </c>
      <c r="W140" s="79"/>
      <c r="X140" s="322"/>
      <c r="Y140" s="79"/>
      <c r="Z140" s="322"/>
      <c r="AA140" s="79"/>
      <c r="AB140" s="322"/>
      <c r="AC140" s="79"/>
      <c r="AD140" s="322"/>
      <c r="AE140" s="323">
        <f t="shared" si="48"/>
        <v>0</v>
      </c>
      <c r="AF140" s="638">
        <f t="shared" si="60"/>
        <v>0</v>
      </c>
      <c r="AG140" s="322"/>
      <c r="AH140" s="90">
        <f t="shared" si="49"/>
        <v>0</v>
      </c>
      <c r="AI140" s="80">
        <f t="shared" si="50"/>
        <v>0</v>
      </c>
      <c r="AJ140" s="638">
        <f t="shared" si="61"/>
        <v>0</v>
      </c>
      <c r="AK140" s="322"/>
      <c r="AL140" s="80">
        <f t="shared" si="51"/>
        <v>0</v>
      </c>
      <c r="AM140" s="79"/>
      <c r="AN140" s="322"/>
      <c r="AO140" s="79"/>
      <c r="AP140" s="322"/>
      <c r="AQ140" s="79"/>
      <c r="AR140" s="322"/>
      <c r="AS140" s="79"/>
      <c r="AT140" s="322"/>
      <c r="AU140" s="325">
        <f t="shared" si="52"/>
        <v>0</v>
      </c>
      <c r="AV140" s="90">
        <f t="shared" si="53"/>
        <v>0</v>
      </c>
      <c r="AW140" s="324">
        <f t="shared" si="54"/>
        <v>0</v>
      </c>
      <c r="AX140" s="80">
        <f t="shared" si="55"/>
        <v>0</v>
      </c>
      <c r="AY140" s="326">
        <f t="shared" si="56"/>
        <v>2876.7</v>
      </c>
      <c r="AZ140" s="80">
        <f t="shared" si="57"/>
        <v>2874.0333333333333</v>
      </c>
    </row>
    <row r="141" spans="1:52">
      <c r="A141" s="94" t="s">
        <v>561</v>
      </c>
      <c r="B141" s="376" t="s">
        <v>699</v>
      </c>
      <c r="C141" s="377">
        <v>139010</v>
      </c>
      <c r="D141" s="378">
        <v>9</v>
      </c>
      <c r="E141" s="162" t="s">
        <v>442</v>
      </c>
      <c r="F141" s="163" t="s">
        <v>442</v>
      </c>
      <c r="G141" s="79"/>
      <c r="H141" s="322"/>
      <c r="I141" s="79">
        <v>25798</v>
      </c>
      <c r="J141" s="322">
        <v>25200</v>
      </c>
      <c r="K141" s="79">
        <v>12813</v>
      </c>
      <c r="L141" s="322">
        <v>12440</v>
      </c>
      <c r="M141" s="79">
        <v>25950</v>
      </c>
      <c r="N141" s="322">
        <v>29642</v>
      </c>
      <c r="O141" s="323">
        <f t="shared" si="44"/>
        <v>64561</v>
      </c>
      <c r="P141" s="638">
        <f t="shared" si="58"/>
        <v>0</v>
      </c>
      <c r="Q141" s="639" t="s">
        <v>949</v>
      </c>
      <c r="R141" s="90">
        <f t="shared" si="45"/>
        <v>2152.0333333333333</v>
      </c>
      <c r="S141" s="324">
        <f t="shared" si="46"/>
        <v>67282</v>
      </c>
      <c r="T141" s="638">
        <f t="shared" si="59"/>
        <v>67282</v>
      </c>
      <c r="U141" s="535">
        <v>3310</v>
      </c>
      <c r="V141" s="80">
        <f t="shared" si="47"/>
        <v>2242.7333333333331</v>
      </c>
      <c r="W141" s="79"/>
      <c r="X141" s="322"/>
      <c r="Y141" s="79"/>
      <c r="Z141" s="322"/>
      <c r="AA141" s="79"/>
      <c r="AB141" s="322"/>
      <c r="AC141" s="79"/>
      <c r="AD141" s="322"/>
      <c r="AE141" s="323">
        <f t="shared" si="48"/>
        <v>0</v>
      </c>
      <c r="AF141" s="638">
        <f t="shared" si="60"/>
        <v>0</v>
      </c>
      <c r="AG141" s="322"/>
      <c r="AH141" s="90">
        <f t="shared" si="49"/>
        <v>0</v>
      </c>
      <c r="AI141" s="80">
        <f t="shared" si="50"/>
        <v>0</v>
      </c>
      <c r="AJ141" s="638">
        <f t="shared" si="61"/>
        <v>0</v>
      </c>
      <c r="AK141" s="322"/>
      <c r="AL141" s="80">
        <f t="shared" si="51"/>
        <v>0</v>
      </c>
      <c r="AM141" s="79"/>
      <c r="AN141" s="322"/>
      <c r="AO141" s="79"/>
      <c r="AP141" s="349"/>
      <c r="AQ141" s="79"/>
      <c r="AR141" s="322"/>
      <c r="AS141" s="79"/>
      <c r="AT141" s="322"/>
      <c r="AU141" s="325">
        <f t="shared" si="52"/>
        <v>0</v>
      </c>
      <c r="AV141" s="90">
        <f t="shared" si="53"/>
        <v>0</v>
      </c>
      <c r="AW141" s="324">
        <f t="shared" si="54"/>
        <v>0</v>
      </c>
      <c r="AX141" s="80">
        <f t="shared" si="55"/>
        <v>0</v>
      </c>
      <c r="AY141" s="326">
        <f t="shared" si="56"/>
        <v>2152.0333333333333</v>
      </c>
      <c r="AZ141" s="80">
        <f t="shared" si="57"/>
        <v>2242.7333333333331</v>
      </c>
    </row>
    <row r="142" spans="1:52">
      <c r="A142" s="94" t="s">
        <v>561</v>
      </c>
      <c r="B142" s="100" t="s">
        <v>901</v>
      </c>
      <c r="C142" s="222">
        <v>139250</v>
      </c>
      <c r="D142" s="104">
        <v>9</v>
      </c>
      <c r="E142" s="162" t="s">
        <v>442</v>
      </c>
      <c r="F142" s="163" t="s">
        <v>442</v>
      </c>
      <c r="G142" s="79"/>
      <c r="H142" s="322"/>
      <c r="I142" s="79">
        <v>26014</v>
      </c>
      <c r="J142" s="322">
        <v>24689.5</v>
      </c>
      <c r="K142" s="79">
        <v>8293</v>
      </c>
      <c r="L142" s="322">
        <v>8288</v>
      </c>
      <c r="M142" s="78">
        <v>26818</v>
      </c>
      <c r="N142" s="322">
        <v>26820</v>
      </c>
      <c r="O142" s="323">
        <f t="shared" si="44"/>
        <v>61125</v>
      </c>
      <c r="P142" s="638">
        <f t="shared" si="58"/>
        <v>0</v>
      </c>
      <c r="Q142" s="639" t="s">
        <v>949</v>
      </c>
      <c r="R142" s="543">
        <f t="shared" si="45"/>
        <v>2037.5</v>
      </c>
      <c r="S142" s="324">
        <f t="shared" si="46"/>
        <v>59797.5</v>
      </c>
      <c r="T142" s="638">
        <f t="shared" si="59"/>
        <v>59797.5</v>
      </c>
      <c r="U142" s="535">
        <v>549</v>
      </c>
      <c r="V142" s="80">
        <f t="shared" si="47"/>
        <v>1993.25</v>
      </c>
      <c r="W142" s="79"/>
      <c r="X142" s="322"/>
      <c r="Y142" s="79"/>
      <c r="Z142" s="322"/>
      <c r="AA142" s="79"/>
      <c r="AB142" s="322"/>
      <c r="AC142" s="79"/>
      <c r="AD142" s="322"/>
      <c r="AE142" s="323">
        <f t="shared" si="48"/>
        <v>0</v>
      </c>
      <c r="AF142" s="638">
        <f t="shared" si="60"/>
        <v>0</v>
      </c>
      <c r="AG142" s="322"/>
      <c r="AH142" s="90">
        <f t="shared" si="49"/>
        <v>0</v>
      </c>
      <c r="AI142" s="80">
        <f t="shared" si="50"/>
        <v>0</v>
      </c>
      <c r="AJ142" s="638">
        <f t="shared" si="61"/>
        <v>0</v>
      </c>
      <c r="AK142" s="322"/>
      <c r="AL142" s="80">
        <f t="shared" si="51"/>
        <v>0</v>
      </c>
      <c r="AM142" s="79"/>
      <c r="AN142" s="322"/>
      <c r="AO142" s="79"/>
      <c r="AP142" s="322"/>
      <c r="AQ142" s="79"/>
      <c r="AR142" s="322"/>
      <c r="AS142" s="79"/>
      <c r="AT142" s="322"/>
      <c r="AU142" s="325">
        <f t="shared" si="52"/>
        <v>0</v>
      </c>
      <c r="AV142" s="90">
        <f t="shared" si="53"/>
        <v>0</v>
      </c>
      <c r="AW142" s="324">
        <f t="shared" si="54"/>
        <v>0</v>
      </c>
      <c r="AX142" s="80">
        <f t="shared" si="55"/>
        <v>0</v>
      </c>
      <c r="AY142" s="326">
        <f t="shared" si="56"/>
        <v>2037.5</v>
      </c>
      <c r="AZ142" s="80">
        <f t="shared" si="57"/>
        <v>1993.25</v>
      </c>
    </row>
    <row r="143" spans="1:52">
      <c r="A143" s="94" t="s">
        <v>561</v>
      </c>
      <c r="B143" s="100" t="s">
        <v>693</v>
      </c>
      <c r="C143" s="222">
        <v>138691</v>
      </c>
      <c r="D143" s="95">
        <v>9</v>
      </c>
      <c r="E143" s="162" t="s">
        <v>442</v>
      </c>
      <c r="F143" s="163" t="s">
        <v>442</v>
      </c>
      <c r="G143" s="79"/>
      <c r="H143" s="322"/>
      <c r="I143" s="79">
        <v>40783.5</v>
      </c>
      <c r="J143" s="322">
        <v>42553.5</v>
      </c>
      <c r="K143" s="79">
        <v>21254.5</v>
      </c>
      <c r="L143" s="322">
        <v>21883</v>
      </c>
      <c r="M143" s="78">
        <v>45918.5</v>
      </c>
      <c r="N143" s="322">
        <v>49620.5</v>
      </c>
      <c r="O143" s="323">
        <f t="shared" si="44"/>
        <v>107956.5</v>
      </c>
      <c r="P143" s="638">
        <f t="shared" si="58"/>
        <v>0</v>
      </c>
      <c r="Q143" s="639" t="s">
        <v>949</v>
      </c>
      <c r="R143" s="543">
        <f t="shared" si="45"/>
        <v>3598.55</v>
      </c>
      <c r="S143" s="324">
        <f t="shared" si="46"/>
        <v>114057</v>
      </c>
      <c r="T143" s="638">
        <f t="shared" si="59"/>
        <v>114057</v>
      </c>
      <c r="U143" s="535">
        <v>855</v>
      </c>
      <c r="V143" s="80">
        <f t="shared" si="47"/>
        <v>3801.9</v>
      </c>
      <c r="W143" s="79"/>
      <c r="X143" s="322"/>
      <c r="Y143" s="79"/>
      <c r="Z143" s="322"/>
      <c r="AA143" s="79"/>
      <c r="AB143" s="322"/>
      <c r="AC143" s="79"/>
      <c r="AD143" s="322"/>
      <c r="AE143" s="323">
        <f t="shared" si="48"/>
        <v>0</v>
      </c>
      <c r="AF143" s="638">
        <f t="shared" si="60"/>
        <v>0</v>
      </c>
      <c r="AG143" s="322"/>
      <c r="AH143" s="90">
        <f t="shared" si="49"/>
        <v>0</v>
      </c>
      <c r="AI143" s="80">
        <f t="shared" si="50"/>
        <v>0</v>
      </c>
      <c r="AJ143" s="638">
        <f t="shared" si="61"/>
        <v>0</v>
      </c>
      <c r="AK143" s="322"/>
      <c r="AL143" s="80">
        <f t="shared" si="51"/>
        <v>0</v>
      </c>
      <c r="AM143" s="79"/>
      <c r="AN143" s="322"/>
      <c r="AO143" s="79"/>
      <c r="AP143" s="322"/>
      <c r="AQ143" s="79"/>
      <c r="AR143" s="322"/>
      <c r="AS143" s="79"/>
      <c r="AT143" s="322"/>
      <c r="AU143" s="325">
        <f t="shared" si="52"/>
        <v>0</v>
      </c>
      <c r="AV143" s="90">
        <f t="shared" si="53"/>
        <v>0</v>
      </c>
      <c r="AW143" s="324">
        <f t="shared" si="54"/>
        <v>0</v>
      </c>
      <c r="AX143" s="80">
        <f t="shared" si="55"/>
        <v>0</v>
      </c>
      <c r="AY143" s="326">
        <f t="shared" si="56"/>
        <v>3598.55</v>
      </c>
      <c r="AZ143" s="80">
        <f t="shared" si="57"/>
        <v>3801.9</v>
      </c>
    </row>
    <row r="144" spans="1:52">
      <c r="A144" s="94" t="s">
        <v>561</v>
      </c>
      <c r="B144" s="103" t="s">
        <v>694</v>
      </c>
      <c r="C144" s="222">
        <v>139773</v>
      </c>
      <c r="D144" s="95">
        <v>9</v>
      </c>
      <c r="E144" s="162" t="s">
        <v>442</v>
      </c>
      <c r="F144" s="163" t="s">
        <v>442</v>
      </c>
      <c r="G144" s="79"/>
      <c r="H144" s="322"/>
      <c r="I144" s="79">
        <f>66504+974</f>
        <v>67478</v>
      </c>
      <c r="J144" s="322">
        <f>74472+1967</f>
        <v>76439</v>
      </c>
      <c r="K144" s="79">
        <f>15556+587</f>
        <v>16143</v>
      </c>
      <c r="L144" s="322">
        <f>17989+1248</f>
        <v>19237</v>
      </c>
      <c r="M144" s="79">
        <f>80350+1642</f>
        <v>81992</v>
      </c>
      <c r="N144" s="322">
        <f>89321+2196</f>
        <v>91517</v>
      </c>
      <c r="O144" s="323">
        <f t="shared" si="44"/>
        <v>165613</v>
      </c>
      <c r="P144" s="638">
        <f t="shared" si="58"/>
        <v>0</v>
      </c>
      <c r="Q144" s="639" t="s">
        <v>949</v>
      </c>
      <c r="R144" s="543">
        <f t="shared" si="45"/>
        <v>5520.4333333333334</v>
      </c>
      <c r="S144" s="324">
        <f t="shared" si="46"/>
        <v>187193</v>
      </c>
      <c r="T144" s="638">
        <f t="shared" si="59"/>
        <v>187193</v>
      </c>
      <c r="U144" s="535">
        <v>1415</v>
      </c>
      <c r="V144" s="80">
        <f t="shared" si="47"/>
        <v>6239.7666666666664</v>
      </c>
      <c r="W144" s="79"/>
      <c r="X144" s="322"/>
      <c r="Y144" s="79"/>
      <c r="Z144" s="322"/>
      <c r="AA144" s="79"/>
      <c r="AB144" s="322"/>
      <c r="AC144" s="79"/>
      <c r="AD144" s="322"/>
      <c r="AE144" s="323">
        <f t="shared" si="48"/>
        <v>0</v>
      </c>
      <c r="AF144" s="638">
        <f t="shared" si="60"/>
        <v>0</v>
      </c>
      <c r="AG144" s="322"/>
      <c r="AH144" s="90">
        <f t="shared" si="49"/>
        <v>0</v>
      </c>
      <c r="AI144" s="80">
        <f t="shared" si="50"/>
        <v>0</v>
      </c>
      <c r="AJ144" s="638">
        <f t="shared" si="61"/>
        <v>0</v>
      </c>
      <c r="AK144" s="322"/>
      <c r="AL144" s="80">
        <f t="shared" si="51"/>
        <v>0</v>
      </c>
      <c r="AM144" s="79"/>
      <c r="AN144" s="322"/>
      <c r="AO144" s="79"/>
      <c r="AP144" s="322"/>
      <c r="AQ144" s="79"/>
      <c r="AR144" s="322"/>
      <c r="AS144" s="79"/>
      <c r="AT144" s="322"/>
      <c r="AU144" s="325">
        <f t="shared" si="52"/>
        <v>0</v>
      </c>
      <c r="AV144" s="90">
        <f t="shared" si="53"/>
        <v>0</v>
      </c>
      <c r="AW144" s="324">
        <f t="shared" si="54"/>
        <v>0</v>
      </c>
      <c r="AX144" s="80">
        <f t="shared" si="55"/>
        <v>0</v>
      </c>
      <c r="AY144" s="326">
        <f t="shared" si="56"/>
        <v>5520.4333333333334</v>
      </c>
      <c r="AZ144" s="80">
        <f t="shared" si="57"/>
        <v>6239.7666666666664</v>
      </c>
    </row>
    <row r="145" spans="1:52">
      <c r="A145" s="94" t="s">
        <v>561</v>
      </c>
      <c r="B145" s="100" t="s">
        <v>695</v>
      </c>
      <c r="C145" s="222">
        <v>139700</v>
      </c>
      <c r="D145" s="95">
        <v>9</v>
      </c>
      <c r="E145" s="162" t="s">
        <v>442</v>
      </c>
      <c r="F145" s="163" t="s">
        <v>442</v>
      </c>
      <c r="G145" s="79"/>
      <c r="H145" s="322"/>
      <c r="I145" s="79">
        <v>38435</v>
      </c>
      <c r="J145" s="322">
        <v>43495</v>
      </c>
      <c r="K145" s="79">
        <v>10729</v>
      </c>
      <c r="L145" s="322">
        <v>11293</v>
      </c>
      <c r="M145" s="79">
        <v>45015</v>
      </c>
      <c r="N145" s="322">
        <v>48965</v>
      </c>
      <c r="O145" s="323">
        <f t="shared" si="44"/>
        <v>94179</v>
      </c>
      <c r="P145" s="638">
        <f t="shared" si="58"/>
        <v>0</v>
      </c>
      <c r="Q145" s="639" t="s">
        <v>949</v>
      </c>
      <c r="R145" s="543">
        <f t="shared" si="45"/>
        <v>3139.3</v>
      </c>
      <c r="S145" s="324">
        <f t="shared" si="46"/>
        <v>103753</v>
      </c>
      <c r="T145" s="638">
        <f t="shared" si="59"/>
        <v>103753</v>
      </c>
      <c r="U145" s="535">
        <v>849</v>
      </c>
      <c r="V145" s="80">
        <f t="shared" si="47"/>
        <v>3458.4333333333334</v>
      </c>
      <c r="W145" s="79"/>
      <c r="X145" s="322"/>
      <c r="Y145" s="79"/>
      <c r="Z145" s="322"/>
      <c r="AA145" s="79"/>
      <c r="AB145" s="322"/>
      <c r="AC145" s="79"/>
      <c r="AD145" s="322"/>
      <c r="AE145" s="323">
        <f t="shared" si="48"/>
        <v>0</v>
      </c>
      <c r="AF145" s="638">
        <f t="shared" si="60"/>
        <v>0</v>
      </c>
      <c r="AG145" s="322"/>
      <c r="AH145" s="90">
        <f t="shared" si="49"/>
        <v>0</v>
      </c>
      <c r="AI145" s="80">
        <f t="shared" si="50"/>
        <v>0</v>
      </c>
      <c r="AJ145" s="638">
        <f t="shared" si="61"/>
        <v>0</v>
      </c>
      <c r="AK145" s="322"/>
      <c r="AL145" s="80">
        <f t="shared" si="51"/>
        <v>0</v>
      </c>
      <c r="AM145" s="79"/>
      <c r="AN145" s="322"/>
      <c r="AO145" s="79"/>
      <c r="AP145" s="322"/>
      <c r="AQ145" s="79"/>
      <c r="AR145" s="322"/>
      <c r="AS145" s="79"/>
      <c r="AT145" s="322"/>
      <c r="AU145" s="325">
        <f t="shared" si="52"/>
        <v>0</v>
      </c>
      <c r="AV145" s="90">
        <f t="shared" si="53"/>
        <v>0</v>
      </c>
      <c r="AW145" s="324">
        <f t="shared" si="54"/>
        <v>0</v>
      </c>
      <c r="AX145" s="80">
        <f t="shared" si="55"/>
        <v>0</v>
      </c>
      <c r="AY145" s="326">
        <f t="shared" si="56"/>
        <v>3139.3</v>
      </c>
      <c r="AZ145" s="80">
        <f t="shared" si="57"/>
        <v>3458.4333333333334</v>
      </c>
    </row>
    <row r="146" spans="1:52">
      <c r="A146" s="94" t="s">
        <v>561</v>
      </c>
      <c r="B146" s="100" t="s">
        <v>696</v>
      </c>
      <c r="C146" s="222">
        <v>139968</v>
      </c>
      <c r="D146" s="95">
        <v>9</v>
      </c>
      <c r="E146" s="162" t="s">
        <v>442</v>
      </c>
      <c r="F146" s="163" t="s">
        <v>442</v>
      </c>
      <c r="G146" s="79"/>
      <c r="H146" s="322"/>
      <c r="I146" s="79">
        <v>38499</v>
      </c>
      <c r="J146" s="322">
        <f>38150+87</f>
        <v>38237</v>
      </c>
      <c r="K146" s="79">
        <v>6434</v>
      </c>
      <c r="L146" s="322">
        <f>6778+351</f>
        <v>7129</v>
      </c>
      <c r="M146" s="79">
        <f>41432+441</f>
        <v>41873</v>
      </c>
      <c r="N146" s="322">
        <f>43843+1367</f>
        <v>45210</v>
      </c>
      <c r="O146" s="323">
        <f t="shared" si="44"/>
        <v>86806</v>
      </c>
      <c r="P146" s="638">
        <f t="shared" si="58"/>
        <v>0</v>
      </c>
      <c r="Q146" s="639" t="s">
        <v>949</v>
      </c>
      <c r="R146" s="543">
        <f t="shared" si="45"/>
        <v>2893.5333333333333</v>
      </c>
      <c r="S146" s="324">
        <f t="shared" si="46"/>
        <v>90576</v>
      </c>
      <c r="T146" s="638">
        <f t="shared" si="59"/>
        <v>90576</v>
      </c>
      <c r="U146" s="535">
        <v>658</v>
      </c>
      <c r="V146" s="80">
        <f t="shared" si="47"/>
        <v>3019.2</v>
      </c>
      <c r="W146" s="79"/>
      <c r="X146" s="322"/>
      <c r="Y146" s="79"/>
      <c r="Z146" s="322"/>
      <c r="AA146" s="79"/>
      <c r="AB146" s="322"/>
      <c r="AC146" s="79"/>
      <c r="AD146" s="322"/>
      <c r="AE146" s="323">
        <f t="shared" si="48"/>
        <v>0</v>
      </c>
      <c r="AF146" s="638">
        <f t="shared" si="60"/>
        <v>0</v>
      </c>
      <c r="AG146" s="322"/>
      <c r="AH146" s="90">
        <f t="shared" si="49"/>
        <v>0</v>
      </c>
      <c r="AI146" s="80">
        <f t="shared" si="50"/>
        <v>0</v>
      </c>
      <c r="AJ146" s="638">
        <f t="shared" si="61"/>
        <v>0</v>
      </c>
      <c r="AK146" s="322"/>
      <c r="AL146" s="80">
        <f t="shared" si="51"/>
        <v>0</v>
      </c>
      <c r="AM146" s="79"/>
      <c r="AN146" s="322"/>
      <c r="AO146" s="79"/>
      <c r="AP146" s="322"/>
      <c r="AQ146" s="79"/>
      <c r="AR146" s="322"/>
      <c r="AS146" s="79"/>
      <c r="AT146" s="322"/>
      <c r="AU146" s="325">
        <f t="shared" si="52"/>
        <v>0</v>
      </c>
      <c r="AV146" s="90">
        <f t="shared" si="53"/>
        <v>0</v>
      </c>
      <c r="AW146" s="324">
        <f t="shared" si="54"/>
        <v>0</v>
      </c>
      <c r="AX146" s="80">
        <f t="shared" si="55"/>
        <v>0</v>
      </c>
      <c r="AY146" s="326">
        <f t="shared" si="56"/>
        <v>2893.5333333333333</v>
      </c>
      <c r="AZ146" s="80">
        <f t="shared" si="57"/>
        <v>3019.2</v>
      </c>
    </row>
    <row r="147" spans="1:52">
      <c r="A147" s="94" t="s">
        <v>561</v>
      </c>
      <c r="B147" s="100" t="s">
        <v>697</v>
      </c>
      <c r="C147" s="223">
        <v>140483</v>
      </c>
      <c r="D147" s="95">
        <v>9</v>
      </c>
      <c r="E147" s="162" t="s">
        <v>442</v>
      </c>
      <c r="F147" s="163" t="s">
        <v>442</v>
      </c>
      <c r="G147" s="79"/>
      <c r="H147" s="322"/>
      <c r="I147" s="79">
        <v>33045</v>
      </c>
      <c r="J147" s="322">
        <f>35487+549</f>
        <v>36036</v>
      </c>
      <c r="K147" s="79">
        <v>9447</v>
      </c>
      <c r="L147" s="322">
        <f>10160+322</f>
        <v>10482</v>
      </c>
      <c r="M147" s="79">
        <f>39362+179</f>
        <v>39541</v>
      </c>
      <c r="N147" s="322">
        <f>37878+771</f>
        <v>38649</v>
      </c>
      <c r="O147" s="323">
        <f t="shared" si="44"/>
        <v>82033</v>
      </c>
      <c r="P147" s="638">
        <f t="shared" si="58"/>
        <v>0</v>
      </c>
      <c r="Q147" s="639" t="s">
        <v>949</v>
      </c>
      <c r="R147" s="543">
        <f t="shared" si="45"/>
        <v>2734.4333333333334</v>
      </c>
      <c r="S147" s="324">
        <f t="shared" si="46"/>
        <v>85167</v>
      </c>
      <c r="T147" s="638">
        <f t="shared" si="59"/>
        <v>85167</v>
      </c>
      <c r="U147" s="535">
        <v>3542</v>
      </c>
      <c r="V147" s="80">
        <f t="shared" si="47"/>
        <v>2838.9</v>
      </c>
      <c r="W147" s="79"/>
      <c r="X147" s="322"/>
      <c r="Y147" s="79"/>
      <c r="Z147" s="322"/>
      <c r="AA147" s="79"/>
      <c r="AB147" s="322"/>
      <c r="AC147" s="79"/>
      <c r="AD147" s="322"/>
      <c r="AE147" s="323">
        <f t="shared" si="48"/>
        <v>0</v>
      </c>
      <c r="AF147" s="638">
        <f t="shared" si="60"/>
        <v>0</v>
      </c>
      <c r="AG147" s="322"/>
      <c r="AH147" s="90">
        <f t="shared" si="49"/>
        <v>0</v>
      </c>
      <c r="AI147" s="80">
        <f t="shared" si="50"/>
        <v>0</v>
      </c>
      <c r="AJ147" s="638">
        <f t="shared" si="61"/>
        <v>0</v>
      </c>
      <c r="AK147" s="322"/>
      <c r="AL147" s="80">
        <f t="shared" si="51"/>
        <v>0</v>
      </c>
      <c r="AM147" s="79"/>
      <c r="AN147" s="322"/>
      <c r="AO147" s="79"/>
      <c r="AP147" s="322"/>
      <c r="AQ147" s="79"/>
      <c r="AR147" s="322"/>
      <c r="AS147" s="79"/>
      <c r="AT147" s="322"/>
      <c r="AU147" s="325">
        <f t="shared" si="52"/>
        <v>0</v>
      </c>
      <c r="AV147" s="90">
        <f t="shared" si="53"/>
        <v>0</v>
      </c>
      <c r="AW147" s="324">
        <f t="shared" si="54"/>
        <v>0</v>
      </c>
      <c r="AX147" s="80">
        <f t="shared" si="55"/>
        <v>0</v>
      </c>
      <c r="AY147" s="326">
        <f t="shared" si="56"/>
        <v>2734.4333333333334</v>
      </c>
      <c r="AZ147" s="80">
        <f t="shared" si="57"/>
        <v>2838.9</v>
      </c>
    </row>
    <row r="148" spans="1:52">
      <c r="A148" s="94" t="s">
        <v>561</v>
      </c>
      <c r="B148" s="100" t="s">
        <v>698</v>
      </c>
      <c r="C148" s="222">
        <v>138901</v>
      </c>
      <c r="D148" s="95">
        <v>10</v>
      </c>
      <c r="E148" s="162" t="s">
        <v>442</v>
      </c>
      <c r="F148" s="163" t="s">
        <v>442</v>
      </c>
      <c r="G148" s="79"/>
      <c r="H148" s="322"/>
      <c r="I148" s="79">
        <v>18211</v>
      </c>
      <c r="J148" s="322">
        <v>20845</v>
      </c>
      <c r="K148" s="79">
        <v>7592</v>
      </c>
      <c r="L148" s="322">
        <v>9182</v>
      </c>
      <c r="M148" s="79">
        <v>19873</v>
      </c>
      <c r="N148" s="322">
        <v>23644</v>
      </c>
      <c r="O148" s="323">
        <f t="shared" si="44"/>
        <v>45676</v>
      </c>
      <c r="P148" s="638">
        <f t="shared" si="58"/>
        <v>0</v>
      </c>
      <c r="Q148" s="639" t="s">
        <v>949</v>
      </c>
      <c r="R148" s="543">
        <f t="shared" si="45"/>
        <v>1522.5333333333333</v>
      </c>
      <c r="S148" s="324">
        <f t="shared" si="46"/>
        <v>53671</v>
      </c>
      <c r="T148" s="638">
        <f t="shared" si="59"/>
        <v>53671</v>
      </c>
      <c r="U148" s="535">
        <v>225</v>
      </c>
      <c r="V148" s="80">
        <f t="shared" si="47"/>
        <v>1789.0333333333333</v>
      </c>
      <c r="W148" s="79"/>
      <c r="X148" s="322"/>
      <c r="Y148" s="79"/>
      <c r="Z148" s="322"/>
      <c r="AA148" s="79"/>
      <c r="AB148" s="322"/>
      <c r="AC148" s="79"/>
      <c r="AD148" s="322"/>
      <c r="AE148" s="323">
        <f t="shared" si="48"/>
        <v>0</v>
      </c>
      <c r="AF148" s="638">
        <f t="shared" si="60"/>
        <v>0</v>
      </c>
      <c r="AG148" s="322"/>
      <c r="AH148" s="90">
        <f t="shared" si="49"/>
        <v>0</v>
      </c>
      <c r="AI148" s="80">
        <f t="shared" si="50"/>
        <v>0</v>
      </c>
      <c r="AJ148" s="638">
        <f t="shared" si="61"/>
        <v>0</v>
      </c>
      <c r="AK148" s="322"/>
      <c r="AL148" s="80">
        <f t="shared" si="51"/>
        <v>0</v>
      </c>
      <c r="AM148" s="79"/>
      <c r="AN148" s="322"/>
      <c r="AO148" s="79"/>
      <c r="AP148" s="322"/>
      <c r="AQ148" s="79"/>
      <c r="AR148" s="322"/>
      <c r="AS148" s="79"/>
      <c r="AT148" s="322"/>
      <c r="AU148" s="325">
        <f t="shared" si="52"/>
        <v>0</v>
      </c>
      <c r="AV148" s="90">
        <f t="shared" si="53"/>
        <v>0</v>
      </c>
      <c r="AW148" s="324">
        <f t="shared" si="54"/>
        <v>0</v>
      </c>
      <c r="AX148" s="80">
        <f t="shared" si="55"/>
        <v>0</v>
      </c>
      <c r="AY148" s="326">
        <f t="shared" si="56"/>
        <v>1522.5333333333333</v>
      </c>
      <c r="AZ148" s="80">
        <f t="shared" si="57"/>
        <v>1789.0333333333333</v>
      </c>
    </row>
    <row r="149" spans="1:52">
      <c r="A149" s="94" t="s">
        <v>561</v>
      </c>
      <c r="B149" s="100" t="s">
        <v>700</v>
      </c>
      <c r="C149" s="222">
        <v>139621</v>
      </c>
      <c r="D149" s="104">
        <v>10</v>
      </c>
      <c r="E149" s="162" t="s">
        <v>442</v>
      </c>
      <c r="F149" s="163" t="s">
        <v>442</v>
      </c>
      <c r="G149" s="79"/>
      <c r="H149" s="322"/>
      <c r="I149" s="79">
        <v>18668</v>
      </c>
      <c r="J149" s="322">
        <v>22043</v>
      </c>
      <c r="K149" s="79">
        <v>4856</v>
      </c>
      <c r="L149" s="322">
        <v>5889</v>
      </c>
      <c r="M149" s="79">
        <v>22178</v>
      </c>
      <c r="N149" s="322">
        <v>29401</v>
      </c>
      <c r="O149" s="323">
        <f t="shared" si="44"/>
        <v>45702</v>
      </c>
      <c r="P149" s="638">
        <f t="shared" si="58"/>
        <v>0</v>
      </c>
      <c r="Q149" s="639" t="s">
        <v>949</v>
      </c>
      <c r="R149" s="543">
        <f t="shared" si="45"/>
        <v>1523.4</v>
      </c>
      <c r="S149" s="324">
        <f t="shared" si="46"/>
        <v>57333</v>
      </c>
      <c r="T149" s="638">
        <f t="shared" si="59"/>
        <v>57333</v>
      </c>
      <c r="U149" s="535">
        <v>311</v>
      </c>
      <c r="V149" s="80">
        <f t="shared" si="47"/>
        <v>1911.1</v>
      </c>
      <c r="W149" s="79"/>
      <c r="X149" s="322"/>
      <c r="Y149" s="79"/>
      <c r="Z149" s="322"/>
      <c r="AA149" s="79"/>
      <c r="AB149" s="322"/>
      <c r="AC149" s="79"/>
      <c r="AD149" s="322"/>
      <c r="AE149" s="323">
        <f t="shared" si="48"/>
        <v>0</v>
      </c>
      <c r="AF149" s="638">
        <f t="shared" si="60"/>
        <v>0</v>
      </c>
      <c r="AG149" s="322"/>
      <c r="AH149" s="90">
        <f t="shared" si="49"/>
        <v>0</v>
      </c>
      <c r="AI149" s="80">
        <f t="shared" si="50"/>
        <v>0</v>
      </c>
      <c r="AJ149" s="638">
        <f t="shared" si="61"/>
        <v>0</v>
      </c>
      <c r="AK149" s="322"/>
      <c r="AL149" s="80">
        <f t="shared" si="51"/>
        <v>0</v>
      </c>
      <c r="AM149" s="79"/>
      <c r="AN149" s="322"/>
      <c r="AO149" s="79"/>
      <c r="AP149" s="322"/>
      <c r="AQ149" s="79"/>
      <c r="AR149" s="322"/>
      <c r="AS149" s="79"/>
      <c r="AT149" s="322"/>
      <c r="AU149" s="325">
        <f t="shared" si="52"/>
        <v>0</v>
      </c>
      <c r="AV149" s="90">
        <f t="shared" si="53"/>
        <v>0</v>
      </c>
      <c r="AW149" s="324">
        <f t="shared" si="54"/>
        <v>0</v>
      </c>
      <c r="AX149" s="80">
        <f t="shared" si="55"/>
        <v>0</v>
      </c>
      <c r="AY149" s="326">
        <f t="shared" si="56"/>
        <v>1523.4</v>
      </c>
      <c r="AZ149" s="80">
        <f t="shared" si="57"/>
        <v>1911.1</v>
      </c>
    </row>
    <row r="150" spans="1:52">
      <c r="A150" s="94" t="s">
        <v>561</v>
      </c>
      <c r="B150" s="100" t="s">
        <v>701</v>
      </c>
      <c r="C150" s="222">
        <v>140997</v>
      </c>
      <c r="D150" s="95">
        <v>10</v>
      </c>
      <c r="E150" s="162" t="s">
        <v>442</v>
      </c>
      <c r="F150" s="163" t="s">
        <v>442</v>
      </c>
      <c r="G150" s="79"/>
      <c r="H150" s="322"/>
      <c r="I150" s="79">
        <v>16451</v>
      </c>
      <c r="J150" s="322">
        <v>19237</v>
      </c>
      <c r="K150" s="79">
        <v>4754</v>
      </c>
      <c r="L150" s="322">
        <v>5053</v>
      </c>
      <c r="M150" s="79">
        <v>20616</v>
      </c>
      <c r="N150" s="322">
        <v>22140</v>
      </c>
      <c r="O150" s="323">
        <f t="shared" si="44"/>
        <v>41821</v>
      </c>
      <c r="P150" s="638">
        <f t="shared" si="58"/>
        <v>0</v>
      </c>
      <c r="Q150" s="639" t="s">
        <v>949</v>
      </c>
      <c r="R150" s="543">
        <f t="shared" si="45"/>
        <v>1394.0333333333333</v>
      </c>
      <c r="S150" s="324">
        <f t="shared" si="46"/>
        <v>46430</v>
      </c>
      <c r="T150" s="638">
        <f t="shared" si="59"/>
        <v>46430</v>
      </c>
      <c r="U150" s="535">
        <v>363</v>
      </c>
      <c r="V150" s="80">
        <f t="shared" si="47"/>
        <v>1547.6666666666667</v>
      </c>
      <c r="W150" s="79"/>
      <c r="X150" s="322"/>
      <c r="Y150" s="79"/>
      <c r="Z150" s="322"/>
      <c r="AA150" s="79"/>
      <c r="AB150" s="322"/>
      <c r="AC150" s="79"/>
      <c r="AD150" s="322"/>
      <c r="AE150" s="323">
        <f t="shared" si="48"/>
        <v>0</v>
      </c>
      <c r="AF150" s="638">
        <f t="shared" si="60"/>
        <v>0</v>
      </c>
      <c r="AG150" s="322"/>
      <c r="AH150" s="90">
        <f t="shared" si="49"/>
        <v>0</v>
      </c>
      <c r="AI150" s="80">
        <f t="shared" si="50"/>
        <v>0</v>
      </c>
      <c r="AJ150" s="638">
        <f t="shared" si="61"/>
        <v>0</v>
      </c>
      <c r="AK150" s="322"/>
      <c r="AL150" s="80">
        <f t="shared" si="51"/>
        <v>0</v>
      </c>
      <c r="AM150" s="79"/>
      <c r="AN150" s="322"/>
      <c r="AO150" s="79"/>
      <c r="AP150" s="322"/>
      <c r="AQ150" s="79"/>
      <c r="AR150" s="322"/>
      <c r="AS150" s="79"/>
      <c r="AT150" s="322"/>
      <c r="AU150" s="325">
        <f t="shared" si="52"/>
        <v>0</v>
      </c>
      <c r="AV150" s="90">
        <f t="shared" si="53"/>
        <v>0</v>
      </c>
      <c r="AW150" s="324">
        <f t="shared" si="54"/>
        <v>0</v>
      </c>
      <c r="AX150" s="80">
        <f t="shared" si="55"/>
        <v>0</v>
      </c>
      <c r="AY150" s="326">
        <f t="shared" si="56"/>
        <v>1394.0333333333333</v>
      </c>
      <c r="AZ150" s="80">
        <f t="shared" si="57"/>
        <v>1547.6666666666667</v>
      </c>
    </row>
    <row r="151" spans="1:52">
      <c r="A151" s="94" t="s">
        <v>561</v>
      </c>
      <c r="B151" s="100" t="s">
        <v>702</v>
      </c>
      <c r="C151" s="222">
        <v>141307</v>
      </c>
      <c r="D151" s="95">
        <v>10</v>
      </c>
      <c r="E151" s="162" t="s">
        <v>442</v>
      </c>
      <c r="F151" s="163" t="s">
        <v>442</v>
      </c>
      <c r="G151" s="79"/>
      <c r="H151" s="322"/>
      <c r="I151" s="79">
        <v>8421</v>
      </c>
      <c r="J151" s="322">
        <v>8119</v>
      </c>
      <c r="K151" s="79">
        <v>2528</v>
      </c>
      <c r="L151" s="322">
        <v>2632</v>
      </c>
      <c r="M151" s="79">
        <v>8787</v>
      </c>
      <c r="N151" s="322">
        <v>8948</v>
      </c>
      <c r="O151" s="323">
        <f t="shared" si="44"/>
        <v>19736</v>
      </c>
      <c r="P151" s="638">
        <f t="shared" si="58"/>
        <v>0</v>
      </c>
      <c r="Q151" s="639" t="s">
        <v>949</v>
      </c>
      <c r="R151" s="543">
        <f t="shared" si="45"/>
        <v>657.86666666666667</v>
      </c>
      <c r="S151" s="324">
        <f t="shared" si="46"/>
        <v>19699</v>
      </c>
      <c r="T151" s="638">
        <f t="shared" si="59"/>
        <v>19699</v>
      </c>
      <c r="U151" s="535">
        <v>544</v>
      </c>
      <c r="V151" s="80">
        <f t="shared" si="47"/>
        <v>656.63333333333333</v>
      </c>
      <c r="W151" s="79"/>
      <c r="X151" s="322"/>
      <c r="Y151" s="79"/>
      <c r="Z151" s="322"/>
      <c r="AA151" s="79"/>
      <c r="AB151" s="322"/>
      <c r="AC151" s="79"/>
      <c r="AD151" s="322"/>
      <c r="AE151" s="323">
        <f t="shared" si="48"/>
        <v>0</v>
      </c>
      <c r="AF151" s="638">
        <f t="shared" si="60"/>
        <v>0</v>
      </c>
      <c r="AG151" s="322"/>
      <c r="AH151" s="90">
        <f t="shared" si="49"/>
        <v>0</v>
      </c>
      <c r="AI151" s="80">
        <f t="shared" si="50"/>
        <v>0</v>
      </c>
      <c r="AJ151" s="638">
        <f t="shared" si="61"/>
        <v>0</v>
      </c>
      <c r="AK151" s="322"/>
      <c r="AL151" s="80">
        <f t="shared" si="51"/>
        <v>0</v>
      </c>
      <c r="AM151" s="79"/>
      <c r="AN151" s="322"/>
      <c r="AO151" s="79"/>
      <c r="AP151" s="352"/>
      <c r="AQ151" s="79"/>
      <c r="AR151" s="322"/>
      <c r="AS151" s="79"/>
      <c r="AT151" s="322"/>
      <c r="AU151" s="325">
        <f t="shared" si="52"/>
        <v>0</v>
      </c>
      <c r="AV151" s="90">
        <f t="shared" si="53"/>
        <v>0</v>
      </c>
      <c r="AW151" s="324">
        <f t="shared" si="54"/>
        <v>0</v>
      </c>
      <c r="AX151" s="80">
        <f t="shared" si="55"/>
        <v>0</v>
      </c>
      <c r="AY151" s="326">
        <f t="shared" si="56"/>
        <v>657.86666666666667</v>
      </c>
      <c r="AZ151" s="80">
        <f t="shared" si="57"/>
        <v>656.63333333333333</v>
      </c>
    </row>
    <row r="152" spans="1:52">
      <c r="A152" s="91" t="s">
        <v>561</v>
      </c>
      <c r="B152" s="92" t="s">
        <v>562</v>
      </c>
      <c r="C152" s="218">
        <v>138682</v>
      </c>
      <c r="D152" s="93">
        <v>12</v>
      </c>
      <c r="E152" s="162" t="s">
        <v>563</v>
      </c>
      <c r="F152" s="163" t="s">
        <v>563</v>
      </c>
      <c r="G152" s="79">
        <v>27671.5</v>
      </c>
      <c r="H152" s="322">
        <v>30723</v>
      </c>
      <c r="I152" s="79">
        <v>27562.5</v>
      </c>
      <c r="J152" s="322">
        <v>30296</v>
      </c>
      <c r="K152" s="79">
        <v>25864.5</v>
      </c>
      <c r="L152" s="329">
        <v>25771</v>
      </c>
      <c r="M152" s="79">
        <v>32156</v>
      </c>
      <c r="N152" s="322">
        <v>35841</v>
      </c>
      <c r="O152" s="323">
        <f t="shared" si="44"/>
        <v>113254.5</v>
      </c>
      <c r="P152" s="638">
        <f t="shared" si="58"/>
        <v>113254.5</v>
      </c>
      <c r="Q152" s="26">
        <v>506</v>
      </c>
      <c r="R152" s="543">
        <f t="shared" ref="R152:R184" si="62">+O152/45</f>
        <v>2516.7666666666669</v>
      </c>
      <c r="S152" s="324">
        <f t="shared" si="46"/>
        <v>122631</v>
      </c>
      <c r="T152" s="638">
        <f t="shared" si="59"/>
        <v>122631</v>
      </c>
      <c r="U152" s="322">
        <v>772</v>
      </c>
      <c r="V152" s="80">
        <f t="shared" ref="V152:V184" si="63">+S152/45</f>
        <v>2725.1333333333332</v>
      </c>
      <c r="W152" s="79"/>
      <c r="X152" s="322"/>
      <c r="Y152" s="79"/>
      <c r="Z152" s="322"/>
      <c r="AA152" s="79"/>
      <c r="AB152" s="322"/>
      <c r="AC152" s="79"/>
      <c r="AD152" s="322"/>
      <c r="AE152" s="323">
        <f t="shared" si="48"/>
        <v>0</v>
      </c>
      <c r="AF152" s="638">
        <f t="shared" si="60"/>
        <v>0</v>
      </c>
      <c r="AG152" s="322"/>
      <c r="AH152" s="90">
        <f t="shared" si="49"/>
        <v>0</v>
      </c>
      <c r="AI152" s="80">
        <f t="shared" si="50"/>
        <v>0</v>
      </c>
      <c r="AJ152" s="638">
        <f t="shared" si="61"/>
        <v>0</v>
      </c>
      <c r="AK152" s="322"/>
      <c r="AL152" s="80">
        <f t="shared" si="51"/>
        <v>0</v>
      </c>
      <c r="AM152" s="79"/>
      <c r="AN152" s="322"/>
      <c r="AO152" s="79"/>
      <c r="AP152" s="322"/>
      <c r="AQ152" s="79"/>
      <c r="AR152" s="322"/>
      <c r="AS152" s="79"/>
      <c r="AT152" s="322"/>
      <c r="AU152" s="325">
        <f t="shared" si="52"/>
        <v>0</v>
      </c>
      <c r="AV152" s="90">
        <f t="shared" ref="AV152:AV184" si="64">+AU152/36</f>
        <v>0</v>
      </c>
      <c r="AW152" s="324">
        <f t="shared" si="54"/>
        <v>0</v>
      </c>
      <c r="AX152" s="80">
        <f t="shared" ref="AX152:AX184" si="65">+AW152/36</f>
        <v>0</v>
      </c>
      <c r="AY152" s="326">
        <f t="shared" si="56"/>
        <v>2516.7666666666669</v>
      </c>
      <c r="AZ152" s="80">
        <f t="shared" si="57"/>
        <v>2725.1333333333332</v>
      </c>
    </row>
    <row r="153" spans="1:52">
      <c r="A153" s="91" t="s">
        <v>561</v>
      </c>
      <c r="B153" s="92" t="s">
        <v>565</v>
      </c>
      <c r="C153" s="218">
        <v>246813</v>
      </c>
      <c r="D153" s="93">
        <v>12</v>
      </c>
      <c r="E153" s="162" t="s">
        <v>563</v>
      </c>
      <c r="F153" s="163" t="s">
        <v>563</v>
      </c>
      <c r="G153" s="79">
        <v>35837</v>
      </c>
      <c r="H153" s="322">
        <v>37721</v>
      </c>
      <c r="I153" s="79">
        <v>31410</v>
      </c>
      <c r="J153" s="322">
        <v>34707</v>
      </c>
      <c r="K153" s="79">
        <v>19346</v>
      </c>
      <c r="L153" s="322">
        <v>19584</v>
      </c>
      <c r="M153" s="79">
        <v>40223</v>
      </c>
      <c r="N153" s="322">
        <v>41236</v>
      </c>
      <c r="O153" s="323">
        <f t="shared" si="44"/>
        <v>126816</v>
      </c>
      <c r="P153" s="638">
        <f t="shared" si="58"/>
        <v>126816</v>
      </c>
      <c r="Q153" s="351">
        <v>2262</v>
      </c>
      <c r="R153" s="90">
        <f t="shared" si="62"/>
        <v>2818.1333333333332</v>
      </c>
      <c r="S153" s="324">
        <f t="shared" si="46"/>
        <v>133248</v>
      </c>
      <c r="T153" s="638">
        <f t="shared" si="59"/>
        <v>133248</v>
      </c>
      <c r="U153" s="322">
        <v>2034</v>
      </c>
      <c r="V153" s="80">
        <f t="shared" si="63"/>
        <v>2961.0666666666666</v>
      </c>
      <c r="W153" s="79"/>
      <c r="X153" s="322"/>
      <c r="Y153" s="79"/>
      <c r="Z153" s="322"/>
      <c r="AA153" s="79"/>
      <c r="AB153" s="322"/>
      <c r="AC153" s="79"/>
      <c r="AD153" s="322"/>
      <c r="AE153" s="323">
        <f t="shared" si="48"/>
        <v>0</v>
      </c>
      <c r="AF153" s="638">
        <f t="shared" si="60"/>
        <v>0</v>
      </c>
      <c r="AG153" s="322"/>
      <c r="AH153" s="90">
        <f t="shared" si="49"/>
        <v>0</v>
      </c>
      <c r="AI153" s="80">
        <f t="shared" si="50"/>
        <v>0</v>
      </c>
      <c r="AJ153" s="638">
        <f t="shared" si="61"/>
        <v>0</v>
      </c>
      <c r="AK153" s="322"/>
      <c r="AL153" s="80">
        <f t="shared" si="51"/>
        <v>0</v>
      </c>
      <c r="AM153" s="79"/>
      <c r="AN153" s="322"/>
      <c r="AO153" s="79"/>
      <c r="AP153" s="322"/>
      <c r="AQ153" s="79"/>
      <c r="AR153" s="322"/>
      <c r="AS153" s="79"/>
      <c r="AT153" s="322"/>
      <c r="AU153" s="325">
        <f t="shared" si="52"/>
        <v>0</v>
      </c>
      <c r="AV153" s="90">
        <f t="shared" si="64"/>
        <v>0</v>
      </c>
      <c r="AW153" s="324">
        <f t="shared" si="54"/>
        <v>0</v>
      </c>
      <c r="AX153" s="80">
        <f t="shared" si="65"/>
        <v>0</v>
      </c>
      <c r="AY153" s="326">
        <f t="shared" si="56"/>
        <v>2818.1333333333332</v>
      </c>
      <c r="AZ153" s="80">
        <f t="shared" si="57"/>
        <v>2961.0666666666666</v>
      </c>
    </row>
    <row r="154" spans="1:52">
      <c r="A154" s="91" t="s">
        <v>561</v>
      </c>
      <c r="B154" s="92" t="s">
        <v>566</v>
      </c>
      <c r="C154" s="218">
        <v>138840</v>
      </c>
      <c r="D154" s="93">
        <v>12</v>
      </c>
      <c r="E154" s="162" t="s">
        <v>563</v>
      </c>
      <c r="F154" s="163" t="s">
        <v>563</v>
      </c>
      <c r="G154" s="79">
        <v>33876</v>
      </c>
      <c r="H154" s="322">
        <v>36958</v>
      </c>
      <c r="I154" s="79">
        <v>34672</v>
      </c>
      <c r="J154" s="322">
        <v>35226</v>
      </c>
      <c r="K154" s="79">
        <v>29489</v>
      </c>
      <c r="L154" s="322">
        <v>28404</v>
      </c>
      <c r="M154" s="79">
        <v>37159</v>
      </c>
      <c r="N154" s="322">
        <v>36532</v>
      </c>
      <c r="O154" s="323">
        <f t="shared" si="44"/>
        <v>135196</v>
      </c>
      <c r="P154" s="638">
        <f t="shared" si="58"/>
        <v>135196</v>
      </c>
      <c r="Q154" s="351">
        <v>2830</v>
      </c>
      <c r="R154" s="90">
        <f t="shared" si="62"/>
        <v>3004.3555555555554</v>
      </c>
      <c r="S154" s="324">
        <f t="shared" si="46"/>
        <v>137120</v>
      </c>
      <c r="T154" s="638">
        <f t="shared" si="59"/>
        <v>137120</v>
      </c>
      <c r="U154" s="322">
        <v>2104</v>
      </c>
      <c r="V154" s="80">
        <f t="shared" si="63"/>
        <v>3047.1111111111113</v>
      </c>
      <c r="W154" s="79"/>
      <c r="X154" s="322"/>
      <c r="Y154" s="79"/>
      <c r="Z154" s="322"/>
      <c r="AA154" s="79"/>
      <c r="AB154" s="322"/>
      <c r="AC154" s="79"/>
      <c r="AD154" s="322"/>
      <c r="AE154" s="323">
        <f t="shared" si="48"/>
        <v>0</v>
      </c>
      <c r="AF154" s="638">
        <f t="shared" si="60"/>
        <v>0</v>
      </c>
      <c r="AG154" s="322"/>
      <c r="AH154" s="90">
        <f t="shared" si="49"/>
        <v>0</v>
      </c>
      <c r="AI154" s="80">
        <f t="shared" si="50"/>
        <v>0</v>
      </c>
      <c r="AJ154" s="638">
        <f t="shared" si="61"/>
        <v>0</v>
      </c>
      <c r="AK154" s="322"/>
      <c r="AL154" s="80">
        <f t="shared" si="51"/>
        <v>0</v>
      </c>
      <c r="AM154" s="79"/>
      <c r="AN154" s="322"/>
      <c r="AO154" s="79"/>
      <c r="AP154" s="322"/>
      <c r="AQ154" s="79"/>
      <c r="AR154" s="322"/>
      <c r="AS154" s="79"/>
      <c r="AT154" s="322"/>
      <c r="AU154" s="325">
        <f t="shared" si="52"/>
        <v>0</v>
      </c>
      <c r="AV154" s="90">
        <f t="shared" si="64"/>
        <v>0</v>
      </c>
      <c r="AW154" s="324">
        <f t="shared" si="54"/>
        <v>0</v>
      </c>
      <c r="AX154" s="80">
        <f t="shared" si="65"/>
        <v>0</v>
      </c>
      <c r="AY154" s="326">
        <f t="shared" si="56"/>
        <v>3004.3555555555554</v>
      </c>
      <c r="AZ154" s="80">
        <f t="shared" si="57"/>
        <v>3047.1111111111113</v>
      </c>
    </row>
    <row r="155" spans="1:52">
      <c r="A155" s="91" t="s">
        <v>561</v>
      </c>
      <c r="B155" s="92" t="s">
        <v>567</v>
      </c>
      <c r="C155" s="218">
        <v>138956</v>
      </c>
      <c r="D155" s="93">
        <v>12</v>
      </c>
      <c r="E155" s="162" t="s">
        <v>563</v>
      </c>
      <c r="F155" s="163" t="s">
        <v>563</v>
      </c>
      <c r="G155" s="79">
        <v>43847</v>
      </c>
      <c r="H155" s="322">
        <v>46224</v>
      </c>
      <c r="I155" s="79">
        <v>41982</v>
      </c>
      <c r="J155" s="322">
        <v>43305</v>
      </c>
      <c r="K155" s="79">
        <v>32683</v>
      </c>
      <c r="L155" s="322">
        <v>33391</v>
      </c>
      <c r="M155" s="79">
        <v>50643</v>
      </c>
      <c r="N155" s="322">
        <v>51563</v>
      </c>
      <c r="O155" s="323">
        <f t="shared" si="44"/>
        <v>169155</v>
      </c>
      <c r="P155" s="638">
        <f t="shared" si="58"/>
        <v>169155</v>
      </c>
      <c r="Q155" s="351">
        <v>1709</v>
      </c>
      <c r="R155" s="90">
        <f t="shared" si="62"/>
        <v>3759</v>
      </c>
      <c r="S155" s="324">
        <f t="shared" si="46"/>
        <v>174483</v>
      </c>
      <c r="T155" s="638">
        <f t="shared" si="59"/>
        <v>174483</v>
      </c>
      <c r="U155" s="322">
        <v>1651</v>
      </c>
      <c r="V155" s="80">
        <f t="shared" si="63"/>
        <v>3877.4</v>
      </c>
      <c r="W155" s="79"/>
      <c r="X155" s="322"/>
      <c r="Y155" s="79"/>
      <c r="Z155" s="322"/>
      <c r="AA155" s="79"/>
      <c r="AB155" s="322"/>
      <c r="AC155" s="79"/>
      <c r="AD155" s="322"/>
      <c r="AE155" s="323">
        <f t="shared" si="48"/>
        <v>0</v>
      </c>
      <c r="AF155" s="638">
        <f t="shared" si="60"/>
        <v>0</v>
      </c>
      <c r="AG155" s="322"/>
      <c r="AH155" s="90">
        <f t="shared" si="49"/>
        <v>0</v>
      </c>
      <c r="AI155" s="80">
        <f t="shared" si="50"/>
        <v>0</v>
      </c>
      <c r="AJ155" s="638">
        <f t="shared" si="61"/>
        <v>0</v>
      </c>
      <c r="AK155" s="322"/>
      <c r="AL155" s="80">
        <f t="shared" si="51"/>
        <v>0</v>
      </c>
      <c r="AM155" s="79"/>
      <c r="AN155" s="322"/>
      <c r="AO155" s="79"/>
      <c r="AP155" s="322"/>
      <c r="AQ155" s="79"/>
      <c r="AR155" s="322"/>
      <c r="AS155" s="79"/>
      <c r="AT155" s="322"/>
      <c r="AU155" s="325">
        <f t="shared" si="52"/>
        <v>0</v>
      </c>
      <c r="AV155" s="90">
        <f t="shared" si="64"/>
        <v>0</v>
      </c>
      <c r="AW155" s="324">
        <f t="shared" si="54"/>
        <v>0</v>
      </c>
      <c r="AX155" s="80">
        <f t="shared" si="65"/>
        <v>0</v>
      </c>
      <c r="AY155" s="326">
        <f t="shared" si="56"/>
        <v>3759</v>
      </c>
      <c r="AZ155" s="80">
        <f t="shared" si="57"/>
        <v>3877.4</v>
      </c>
    </row>
    <row r="156" spans="1:52">
      <c r="A156" s="91" t="s">
        <v>561</v>
      </c>
      <c r="B156" s="92" t="s">
        <v>568</v>
      </c>
      <c r="C156" s="218">
        <v>140304</v>
      </c>
      <c r="D156" s="93">
        <v>12</v>
      </c>
      <c r="E156" s="162" t="s">
        <v>563</v>
      </c>
      <c r="F156" s="163" t="s">
        <v>563</v>
      </c>
      <c r="G156" s="79">
        <v>51715</v>
      </c>
      <c r="H156" s="322">
        <v>51449</v>
      </c>
      <c r="I156" s="79">
        <v>48196</v>
      </c>
      <c r="J156" s="322">
        <v>47131</v>
      </c>
      <c r="K156" s="79">
        <v>39999</v>
      </c>
      <c r="L156" s="322">
        <v>40738</v>
      </c>
      <c r="M156" s="79">
        <v>54007</v>
      </c>
      <c r="N156" s="322">
        <v>58962</v>
      </c>
      <c r="O156" s="323">
        <f t="shared" si="44"/>
        <v>193917</v>
      </c>
      <c r="P156" s="638">
        <f t="shared" si="58"/>
        <v>193917</v>
      </c>
      <c r="Q156" s="351">
        <v>3939</v>
      </c>
      <c r="R156" s="90">
        <f t="shared" si="62"/>
        <v>4309.2666666666664</v>
      </c>
      <c r="S156" s="324">
        <f t="shared" si="46"/>
        <v>198280</v>
      </c>
      <c r="T156" s="638">
        <f t="shared" si="59"/>
        <v>198280</v>
      </c>
      <c r="U156" s="322">
        <v>3520</v>
      </c>
      <c r="V156" s="80">
        <f t="shared" si="63"/>
        <v>4406.2222222222226</v>
      </c>
      <c r="W156" s="79"/>
      <c r="X156" s="322"/>
      <c r="Y156" s="79"/>
      <c r="Z156" s="322"/>
      <c r="AA156" s="79"/>
      <c r="AB156" s="322"/>
      <c r="AC156" s="79"/>
      <c r="AD156" s="322"/>
      <c r="AE156" s="323">
        <f t="shared" si="48"/>
        <v>0</v>
      </c>
      <c r="AF156" s="638">
        <f t="shared" si="60"/>
        <v>0</v>
      </c>
      <c r="AG156" s="322"/>
      <c r="AH156" s="90">
        <f t="shared" si="49"/>
        <v>0</v>
      </c>
      <c r="AI156" s="80">
        <f t="shared" si="50"/>
        <v>0</v>
      </c>
      <c r="AJ156" s="638">
        <f t="shared" si="61"/>
        <v>0</v>
      </c>
      <c r="AK156" s="322"/>
      <c r="AL156" s="80">
        <f t="shared" si="51"/>
        <v>0</v>
      </c>
      <c r="AM156" s="79"/>
      <c r="AN156" s="322"/>
      <c r="AO156" s="79"/>
      <c r="AP156" s="322"/>
      <c r="AQ156" s="79"/>
      <c r="AR156" s="322"/>
      <c r="AS156" s="79"/>
      <c r="AT156" s="322"/>
      <c r="AU156" s="325">
        <f t="shared" si="52"/>
        <v>0</v>
      </c>
      <c r="AV156" s="90">
        <f t="shared" si="64"/>
        <v>0</v>
      </c>
      <c r="AW156" s="324">
        <f t="shared" si="54"/>
        <v>0</v>
      </c>
      <c r="AX156" s="80">
        <f t="shared" si="65"/>
        <v>0</v>
      </c>
      <c r="AY156" s="326">
        <f t="shared" si="56"/>
        <v>4309.2666666666664</v>
      </c>
      <c r="AZ156" s="80">
        <f t="shared" si="57"/>
        <v>4406.2222222222226</v>
      </c>
    </row>
    <row r="157" spans="1:52">
      <c r="A157" s="91" t="s">
        <v>561</v>
      </c>
      <c r="B157" s="92" t="s">
        <v>569</v>
      </c>
      <c r="C157" s="218">
        <v>140331</v>
      </c>
      <c r="D157" s="93">
        <v>12</v>
      </c>
      <c r="E157" s="162" t="s">
        <v>563</v>
      </c>
      <c r="F157" s="163" t="s">
        <v>563</v>
      </c>
      <c r="G157" s="79">
        <v>52022</v>
      </c>
      <c r="H157" s="322">
        <v>53549</v>
      </c>
      <c r="I157" s="79">
        <v>53135</v>
      </c>
      <c r="J157" s="322">
        <v>54444</v>
      </c>
      <c r="K157" s="79">
        <v>30130</v>
      </c>
      <c r="L157" s="322">
        <v>33264</v>
      </c>
      <c r="M157" s="79">
        <v>63690</v>
      </c>
      <c r="N157" s="322">
        <v>60826</v>
      </c>
      <c r="O157" s="323">
        <f t="shared" si="44"/>
        <v>198977</v>
      </c>
      <c r="P157" s="638">
        <f t="shared" si="58"/>
        <v>198977</v>
      </c>
      <c r="Q157" s="351">
        <v>15417</v>
      </c>
      <c r="R157" s="90">
        <f t="shared" si="62"/>
        <v>4421.7111111111108</v>
      </c>
      <c r="S157" s="324">
        <f t="shared" si="46"/>
        <v>202083</v>
      </c>
      <c r="T157" s="638">
        <f t="shared" si="59"/>
        <v>202083</v>
      </c>
      <c r="U157" s="322">
        <v>9835</v>
      </c>
      <c r="V157" s="80">
        <f t="shared" si="63"/>
        <v>4490.7333333333336</v>
      </c>
      <c r="W157" s="79"/>
      <c r="X157" s="322"/>
      <c r="Y157" s="79"/>
      <c r="Z157" s="322"/>
      <c r="AA157" s="79"/>
      <c r="AB157" s="322"/>
      <c r="AC157" s="79"/>
      <c r="AD157" s="322"/>
      <c r="AE157" s="323">
        <f t="shared" si="48"/>
        <v>0</v>
      </c>
      <c r="AF157" s="638">
        <f t="shared" si="60"/>
        <v>0</v>
      </c>
      <c r="AG157" s="322"/>
      <c r="AH157" s="90">
        <f t="shared" si="49"/>
        <v>0</v>
      </c>
      <c r="AI157" s="80">
        <f t="shared" si="50"/>
        <v>0</v>
      </c>
      <c r="AJ157" s="638">
        <f t="shared" si="61"/>
        <v>0</v>
      </c>
      <c r="AK157" s="322"/>
      <c r="AL157" s="80">
        <f t="shared" si="51"/>
        <v>0</v>
      </c>
      <c r="AM157" s="79"/>
      <c r="AN157" s="322"/>
      <c r="AO157" s="79"/>
      <c r="AP157" s="322"/>
      <c r="AQ157" s="79"/>
      <c r="AR157" s="322"/>
      <c r="AS157" s="79"/>
      <c r="AT157" s="322"/>
      <c r="AU157" s="325">
        <f t="shared" si="52"/>
        <v>0</v>
      </c>
      <c r="AV157" s="90">
        <f t="shared" si="64"/>
        <v>0</v>
      </c>
      <c r="AW157" s="324">
        <f t="shared" si="54"/>
        <v>0</v>
      </c>
      <c r="AX157" s="80">
        <f t="shared" si="65"/>
        <v>0</v>
      </c>
      <c r="AY157" s="326">
        <f t="shared" si="56"/>
        <v>4421.7111111111108</v>
      </c>
      <c r="AZ157" s="80">
        <f t="shared" si="57"/>
        <v>4490.7333333333336</v>
      </c>
    </row>
    <row r="158" spans="1:52">
      <c r="A158" s="91" t="s">
        <v>561</v>
      </c>
      <c r="B158" s="92" t="s">
        <v>570</v>
      </c>
      <c r="C158" s="218">
        <v>139357</v>
      </c>
      <c r="D158" s="93">
        <v>12</v>
      </c>
      <c r="E158" s="162" t="s">
        <v>563</v>
      </c>
      <c r="F158" s="163" t="s">
        <v>563</v>
      </c>
      <c r="G158" s="79">
        <v>31660</v>
      </c>
      <c r="H158" s="322">
        <v>34241</v>
      </c>
      <c r="I158" s="79">
        <v>30091</v>
      </c>
      <c r="J158" s="322">
        <v>32544</v>
      </c>
      <c r="K158" s="79">
        <v>28818</v>
      </c>
      <c r="L158" s="322">
        <v>28247</v>
      </c>
      <c r="M158" s="79">
        <v>35411</v>
      </c>
      <c r="N158" s="322">
        <v>37258</v>
      </c>
      <c r="O158" s="323">
        <f t="shared" si="44"/>
        <v>125980</v>
      </c>
      <c r="P158" s="638">
        <f t="shared" si="58"/>
        <v>125980</v>
      </c>
      <c r="Q158" s="351">
        <v>2623.4</v>
      </c>
      <c r="R158" s="90">
        <f t="shared" si="62"/>
        <v>2799.5555555555557</v>
      </c>
      <c r="S158" s="324">
        <f t="shared" si="46"/>
        <v>132290</v>
      </c>
      <c r="T158" s="638">
        <f t="shared" si="59"/>
        <v>132290</v>
      </c>
      <c r="U158" s="322">
        <v>3100</v>
      </c>
      <c r="V158" s="80">
        <f t="shared" si="63"/>
        <v>2939.7777777777778</v>
      </c>
      <c r="W158" s="79"/>
      <c r="X158" s="322"/>
      <c r="Y158" s="79"/>
      <c r="Z158" s="322"/>
      <c r="AA158" s="79"/>
      <c r="AB158" s="322"/>
      <c r="AC158" s="79"/>
      <c r="AD158" s="322"/>
      <c r="AE158" s="323">
        <f t="shared" si="48"/>
        <v>0</v>
      </c>
      <c r="AF158" s="638">
        <f t="shared" si="60"/>
        <v>0</v>
      </c>
      <c r="AG158" s="322"/>
      <c r="AH158" s="90">
        <f t="shared" si="49"/>
        <v>0</v>
      </c>
      <c r="AI158" s="80">
        <f t="shared" si="50"/>
        <v>0</v>
      </c>
      <c r="AJ158" s="638">
        <f t="shared" si="61"/>
        <v>0</v>
      </c>
      <c r="AK158" s="322"/>
      <c r="AL158" s="80">
        <f t="shared" si="51"/>
        <v>0</v>
      </c>
      <c r="AM158" s="79"/>
      <c r="AN158" s="322"/>
      <c r="AO158" s="79"/>
      <c r="AP158" s="322"/>
      <c r="AQ158" s="79"/>
      <c r="AR158" s="322"/>
      <c r="AS158" s="79"/>
      <c r="AT158" s="322"/>
      <c r="AU158" s="325">
        <f t="shared" si="52"/>
        <v>0</v>
      </c>
      <c r="AV158" s="90">
        <f t="shared" si="64"/>
        <v>0</v>
      </c>
      <c r="AW158" s="324">
        <f t="shared" si="54"/>
        <v>0</v>
      </c>
      <c r="AX158" s="80">
        <f t="shared" si="65"/>
        <v>0</v>
      </c>
      <c r="AY158" s="326">
        <f t="shared" si="56"/>
        <v>2799.5555555555557</v>
      </c>
      <c r="AZ158" s="80">
        <f t="shared" si="57"/>
        <v>2939.7777777777778</v>
      </c>
    </row>
    <row r="159" spans="1:52">
      <c r="A159" s="91" t="s">
        <v>561</v>
      </c>
      <c r="B159" s="92" t="s">
        <v>571</v>
      </c>
      <c r="C159" s="218">
        <v>139384</v>
      </c>
      <c r="D159" s="93">
        <v>12</v>
      </c>
      <c r="E159" s="162" t="s">
        <v>563</v>
      </c>
      <c r="F159" s="163" t="s">
        <v>563</v>
      </c>
      <c r="G159" s="79">
        <v>26246</v>
      </c>
      <c r="H159" s="322">
        <v>26686</v>
      </c>
      <c r="I159" s="79">
        <v>24448</v>
      </c>
      <c r="J159" s="322">
        <v>24285</v>
      </c>
      <c r="K159" s="79">
        <v>20347</v>
      </c>
      <c r="L159" s="322">
        <v>20422</v>
      </c>
      <c r="M159" s="79">
        <v>27743</v>
      </c>
      <c r="N159" s="322">
        <v>30806</v>
      </c>
      <c r="O159" s="323">
        <f t="shared" si="44"/>
        <v>98784</v>
      </c>
      <c r="P159" s="638">
        <f t="shared" si="58"/>
        <v>98784</v>
      </c>
      <c r="Q159" s="351">
        <v>1501</v>
      </c>
      <c r="R159" s="90">
        <f t="shared" si="62"/>
        <v>2195.1999999999998</v>
      </c>
      <c r="S159" s="324">
        <f t="shared" si="46"/>
        <v>102199</v>
      </c>
      <c r="T159" s="638">
        <f t="shared" si="59"/>
        <v>102199</v>
      </c>
      <c r="U159" s="322">
        <v>1443</v>
      </c>
      <c r="V159" s="80">
        <f t="shared" si="63"/>
        <v>2271.088888888889</v>
      </c>
      <c r="W159" s="79"/>
      <c r="X159" s="322"/>
      <c r="Y159" s="79"/>
      <c r="Z159" s="322"/>
      <c r="AA159" s="79"/>
      <c r="AB159" s="322"/>
      <c r="AC159" s="79"/>
      <c r="AD159" s="322"/>
      <c r="AE159" s="323">
        <f t="shared" si="48"/>
        <v>0</v>
      </c>
      <c r="AF159" s="638">
        <f t="shared" si="60"/>
        <v>0</v>
      </c>
      <c r="AG159" s="322"/>
      <c r="AH159" s="90">
        <f t="shared" si="49"/>
        <v>0</v>
      </c>
      <c r="AI159" s="80">
        <f t="shared" si="50"/>
        <v>0</v>
      </c>
      <c r="AJ159" s="638">
        <f t="shared" si="61"/>
        <v>0</v>
      </c>
      <c r="AK159" s="322"/>
      <c r="AL159" s="80">
        <f t="shared" si="51"/>
        <v>0</v>
      </c>
      <c r="AM159" s="79"/>
      <c r="AN159" s="322"/>
      <c r="AO159" s="79"/>
      <c r="AP159" s="322"/>
      <c r="AQ159" s="79"/>
      <c r="AR159" s="322"/>
      <c r="AS159" s="79"/>
      <c r="AT159" s="322"/>
      <c r="AU159" s="325">
        <f t="shared" si="52"/>
        <v>0</v>
      </c>
      <c r="AV159" s="90">
        <f t="shared" si="64"/>
        <v>0</v>
      </c>
      <c r="AW159" s="324">
        <f t="shared" si="54"/>
        <v>0</v>
      </c>
      <c r="AX159" s="80">
        <f t="shared" si="65"/>
        <v>0</v>
      </c>
      <c r="AY159" s="326">
        <f t="shared" si="56"/>
        <v>2195.1999999999998</v>
      </c>
      <c r="AZ159" s="80">
        <f t="shared" si="57"/>
        <v>2271.088888888889</v>
      </c>
    </row>
    <row r="160" spans="1:52">
      <c r="A160" s="91" t="s">
        <v>561</v>
      </c>
      <c r="B160" s="92" t="s">
        <v>572</v>
      </c>
      <c r="C160" s="218">
        <v>244446</v>
      </c>
      <c r="D160" s="93">
        <v>12</v>
      </c>
      <c r="E160" s="162" t="s">
        <v>563</v>
      </c>
      <c r="F160" s="163" t="s">
        <v>563</v>
      </c>
      <c r="G160" s="79">
        <v>35722</v>
      </c>
      <c r="H160" s="322">
        <v>37223</v>
      </c>
      <c r="I160" s="79">
        <v>35227.5</v>
      </c>
      <c r="J160" s="322">
        <v>35850</v>
      </c>
      <c r="K160" s="79">
        <v>29700.5</v>
      </c>
      <c r="L160" s="322">
        <v>30239</v>
      </c>
      <c r="M160" s="79">
        <v>38189.5</v>
      </c>
      <c r="N160" s="322">
        <v>40825</v>
      </c>
      <c r="O160" s="323">
        <f t="shared" si="44"/>
        <v>138839.5</v>
      </c>
      <c r="P160" s="638">
        <f t="shared" si="58"/>
        <v>138839.5</v>
      </c>
      <c r="Q160" s="351">
        <v>2603</v>
      </c>
      <c r="R160" s="90">
        <f t="shared" si="62"/>
        <v>3085.3222222222221</v>
      </c>
      <c r="S160" s="324">
        <f t="shared" si="46"/>
        <v>144137</v>
      </c>
      <c r="T160" s="638">
        <f t="shared" si="59"/>
        <v>144137</v>
      </c>
      <c r="U160" s="322">
        <v>3102.6</v>
      </c>
      <c r="V160" s="80">
        <f t="shared" si="63"/>
        <v>3203.0444444444443</v>
      </c>
      <c r="W160" s="79"/>
      <c r="X160" s="322"/>
      <c r="Y160" s="79"/>
      <c r="Z160" s="322"/>
      <c r="AA160" s="79"/>
      <c r="AB160" s="322"/>
      <c r="AC160" s="79"/>
      <c r="AD160" s="322"/>
      <c r="AE160" s="323">
        <f t="shared" si="48"/>
        <v>0</v>
      </c>
      <c r="AF160" s="638">
        <f t="shared" si="60"/>
        <v>0</v>
      </c>
      <c r="AG160" s="322"/>
      <c r="AH160" s="90">
        <f t="shared" si="49"/>
        <v>0</v>
      </c>
      <c r="AI160" s="80">
        <f t="shared" si="50"/>
        <v>0</v>
      </c>
      <c r="AJ160" s="638">
        <f t="shared" si="61"/>
        <v>0</v>
      </c>
      <c r="AK160" s="322"/>
      <c r="AL160" s="80">
        <f t="shared" si="51"/>
        <v>0</v>
      </c>
      <c r="AM160" s="79"/>
      <c r="AN160" s="322"/>
      <c r="AO160" s="79"/>
      <c r="AP160" s="322"/>
      <c r="AQ160" s="79"/>
      <c r="AR160" s="322"/>
      <c r="AS160" s="79"/>
      <c r="AT160" s="322"/>
      <c r="AU160" s="325">
        <f t="shared" si="52"/>
        <v>0</v>
      </c>
      <c r="AV160" s="90">
        <f t="shared" si="64"/>
        <v>0</v>
      </c>
      <c r="AW160" s="324">
        <f t="shared" si="54"/>
        <v>0</v>
      </c>
      <c r="AX160" s="80">
        <f t="shared" si="65"/>
        <v>0</v>
      </c>
      <c r="AY160" s="326">
        <f t="shared" si="56"/>
        <v>3085.3222222222221</v>
      </c>
      <c r="AZ160" s="80">
        <f t="shared" si="57"/>
        <v>3203.0444444444443</v>
      </c>
    </row>
    <row r="161" spans="1:52">
      <c r="A161" s="91" t="s">
        <v>561</v>
      </c>
      <c r="B161" s="105" t="s">
        <v>573</v>
      </c>
      <c r="C161" s="210">
        <v>139126</v>
      </c>
      <c r="D161" s="108">
        <v>12</v>
      </c>
      <c r="E161" s="162" t="s">
        <v>563</v>
      </c>
      <c r="F161" s="163" t="s">
        <v>563</v>
      </c>
      <c r="G161" s="79">
        <v>11534</v>
      </c>
      <c r="H161" s="322">
        <v>12578</v>
      </c>
      <c r="I161" s="79">
        <v>11191</v>
      </c>
      <c r="J161" s="322">
        <v>11822</v>
      </c>
      <c r="K161" s="79">
        <v>10272</v>
      </c>
      <c r="L161" s="322">
        <v>10447</v>
      </c>
      <c r="M161" s="79">
        <v>14360</v>
      </c>
      <c r="N161" s="322">
        <v>15667</v>
      </c>
      <c r="O161" s="323">
        <f t="shared" si="44"/>
        <v>47357</v>
      </c>
      <c r="P161" s="638">
        <f t="shared" si="58"/>
        <v>47357</v>
      </c>
      <c r="Q161" s="351">
        <v>3911</v>
      </c>
      <c r="R161" s="90">
        <f t="shared" si="62"/>
        <v>1052.3777777777777</v>
      </c>
      <c r="S161" s="324">
        <f t="shared" si="46"/>
        <v>50514</v>
      </c>
      <c r="T161" s="638">
        <f t="shared" si="59"/>
        <v>50514</v>
      </c>
      <c r="U161" s="322">
        <v>3560</v>
      </c>
      <c r="V161" s="80">
        <f t="shared" si="63"/>
        <v>1122.5333333333333</v>
      </c>
      <c r="W161" s="79"/>
      <c r="X161" s="322"/>
      <c r="Y161" s="79"/>
      <c r="Z161" s="322"/>
      <c r="AA161" s="79"/>
      <c r="AB161" s="322"/>
      <c r="AC161" s="79"/>
      <c r="AD161" s="322"/>
      <c r="AE161" s="323">
        <f t="shared" si="48"/>
        <v>0</v>
      </c>
      <c r="AF161" s="638">
        <f t="shared" si="60"/>
        <v>0</v>
      </c>
      <c r="AG161" s="322"/>
      <c r="AH161" s="90">
        <f t="shared" si="49"/>
        <v>0</v>
      </c>
      <c r="AI161" s="80">
        <f t="shared" si="50"/>
        <v>0</v>
      </c>
      <c r="AJ161" s="638">
        <f t="shared" si="61"/>
        <v>0</v>
      </c>
      <c r="AK161" s="322"/>
      <c r="AL161" s="80">
        <f t="shared" si="51"/>
        <v>0</v>
      </c>
      <c r="AM161" s="79"/>
      <c r="AN161" s="322"/>
      <c r="AO161" s="79"/>
      <c r="AP161" s="322"/>
      <c r="AQ161" s="79"/>
      <c r="AR161" s="322"/>
      <c r="AS161" s="79"/>
      <c r="AT161" s="322"/>
      <c r="AU161" s="325">
        <f t="shared" si="52"/>
        <v>0</v>
      </c>
      <c r="AV161" s="90">
        <f t="shared" si="64"/>
        <v>0</v>
      </c>
      <c r="AW161" s="324">
        <f t="shared" si="54"/>
        <v>0</v>
      </c>
      <c r="AX161" s="80">
        <f t="shared" si="65"/>
        <v>0</v>
      </c>
      <c r="AY161" s="326">
        <f t="shared" si="56"/>
        <v>1052.3777777777777</v>
      </c>
      <c r="AZ161" s="80">
        <f t="shared" si="57"/>
        <v>1122.5333333333333</v>
      </c>
    </row>
    <row r="162" spans="1:52">
      <c r="A162" s="91" t="s">
        <v>561</v>
      </c>
      <c r="B162" s="92" t="s">
        <v>575</v>
      </c>
      <c r="C162" s="218">
        <v>139986</v>
      </c>
      <c r="D162" s="93">
        <v>12</v>
      </c>
      <c r="E162" s="162" t="s">
        <v>563</v>
      </c>
      <c r="F162" s="163" t="s">
        <v>563</v>
      </c>
      <c r="G162" s="79">
        <v>34764</v>
      </c>
      <c r="H162" s="322">
        <v>40837</v>
      </c>
      <c r="I162" s="79">
        <v>34108</v>
      </c>
      <c r="J162" s="322">
        <v>38777</v>
      </c>
      <c r="K162" s="79">
        <v>28825</v>
      </c>
      <c r="L162" s="322">
        <v>32106</v>
      </c>
      <c r="M162" s="79">
        <v>42671</v>
      </c>
      <c r="N162" s="322">
        <v>44413</v>
      </c>
      <c r="O162" s="323">
        <f t="shared" si="44"/>
        <v>140368</v>
      </c>
      <c r="P162" s="638">
        <f t="shared" si="58"/>
        <v>140368</v>
      </c>
      <c r="Q162" s="351">
        <v>4590</v>
      </c>
      <c r="R162" s="90">
        <f t="shared" si="62"/>
        <v>3119.2888888888888</v>
      </c>
      <c r="S162" s="324">
        <f t="shared" si="46"/>
        <v>156133</v>
      </c>
      <c r="T162" s="638">
        <f t="shared" si="59"/>
        <v>156133</v>
      </c>
      <c r="U162" s="322">
        <v>3498</v>
      </c>
      <c r="V162" s="80">
        <f t="shared" si="63"/>
        <v>3469.6222222222223</v>
      </c>
      <c r="W162" s="79"/>
      <c r="X162" s="322"/>
      <c r="Y162" s="79"/>
      <c r="Z162" s="322"/>
      <c r="AA162" s="79"/>
      <c r="AB162" s="322"/>
      <c r="AC162" s="79"/>
      <c r="AD162" s="322"/>
      <c r="AE162" s="323">
        <f t="shared" si="48"/>
        <v>0</v>
      </c>
      <c r="AF162" s="638">
        <f t="shared" si="60"/>
        <v>0</v>
      </c>
      <c r="AG162" s="322"/>
      <c r="AH162" s="90">
        <f t="shared" si="49"/>
        <v>0</v>
      </c>
      <c r="AI162" s="80">
        <f t="shared" si="50"/>
        <v>0</v>
      </c>
      <c r="AJ162" s="638">
        <f t="shared" si="61"/>
        <v>0</v>
      </c>
      <c r="AK162" s="322"/>
      <c r="AL162" s="80">
        <f t="shared" si="51"/>
        <v>0</v>
      </c>
      <c r="AM162" s="79"/>
      <c r="AN162" s="322"/>
      <c r="AO162" s="79"/>
      <c r="AP162" s="322"/>
      <c r="AQ162" s="79"/>
      <c r="AR162" s="322"/>
      <c r="AS162" s="79"/>
      <c r="AT162" s="322"/>
      <c r="AU162" s="325">
        <f t="shared" si="52"/>
        <v>0</v>
      </c>
      <c r="AV162" s="90">
        <f t="shared" si="64"/>
        <v>0</v>
      </c>
      <c r="AW162" s="324">
        <f t="shared" si="54"/>
        <v>0</v>
      </c>
      <c r="AX162" s="80">
        <f t="shared" si="65"/>
        <v>0</v>
      </c>
      <c r="AY162" s="326">
        <f t="shared" si="56"/>
        <v>3119.2888888888888</v>
      </c>
      <c r="AZ162" s="80">
        <f t="shared" si="57"/>
        <v>3469.6222222222223</v>
      </c>
    </row>
    <row r="163" spans="1:52">
      <c r="A163" s="91" t="s">
        <v>561</v>
      </c>
      <c r="B163" s="92" t="s">
        <v>576</v>
      </c>
      <c r="C163" s="218">
        <v>140012</v>
      </c>
      <c r="D163" s="93">
        <v>12</v>
      </c>
      <c r="E163" s="162" t="s">
        <v>563</v>
      </c>
      <c r="F163" s="163" t="s">
        <v>563</v>
      </c>
      <c r="G163" s="79">
        <v>41697</v>
      </c>
      <c r="H163" s="322">
        <v>50175</v>
      </c>
      <c r="I163" s="79">
        <v>43447</v>
      </c>
      <c r="J163" s="322">
        <v>49317</v>
      </c>
      <c r="K163" s="79">
        <v>29484</v>
      </c>
      <c r="L163" s="322">
        <v>35130</v>
      </c>
      <c r="M163" s="79">
        <v>52657</v>
      </c>
      <c r="N163" s="322">
        <v>59232</v>
      </c>
      <c r="O163" s="323">
        <f t="shared" si="44"/>
        <v>167285</v>
      </c>
      <c r="P163" s="638">
        <f t="shared" si="58"/>
        <v>167285</v>
      </c>
      <c r="Q163" s="351">
        <v>233</v>
      </c>
      <c r="R163" s="90">
        <f t="shared" si="62"/>
        <v>3717.4444444444443</v>
      </c>
      <c r="S163" s="324">
        <f t="shared" si="46"/>
        <v>193854</v>
      </c>
      <c r="T163" s="638">
        <f t="shared" si="59"/>
        <v>193854</v>
      </c>
      <c r="U163" s="322">
        <v>325</v>
      </c>
      <c r="V163" s="80">
        <f t="shared" si="63"/>
        <v>4307.8666666666668</v>
      </c>
      <c r="W163" s="79"/>
      <c r="X163" s="322"/>
      <c r="Y163" s="79"/>
      <c r="Z163" s="322"/>
      <c r="AA163" s="79"/>
      <c r="AB163" s="322"/>
      <c r="AC163" s="79"/>
      <c r="AD163" s="322"/>
      <c r="AE163" s="323">
        <f t="shared" si="48"/>
        <v>0</v>
      </c>
      <c r="AF163" s="638">
        <f t="shared" si="60"/>
        <v>0</v>
      </c>
      <c r="AG163" s="322"/>
      <c r="AH163" s="90">
        <f t="shared" si="49"/>
        <v>0</v>
      </c>
      <c r="AI163" s="80">
        <f t="shared" si="50"/>
        <v>0</v>
      </c>
      <c r="AJ163" s="638">
        <f t="shared" si="61"/>
        <v>0</v>
      </c>
      <c r="AK163" s="322"/>
      <c r="AL163" s="80">
        <f t="shared" si="51"/>
        <v>0</v>
      </c>
      <c r="AM163" s="79"/>
      <c r="AN163" s="322"/>
      <c r="AO163" s="79"/>
      <c r="AP163" s="322"/>
      <c r="AQ163" s="79"/>
      <c r="AR163" s="322"/>
      <c r="AS163" s="79"/>
      <c r="AT163" s="322"/>
      <c r="AU163" s="325">
        <f t="shared" si="52"/>
        <v>0</v>
      </c>
      <c r="AV163" s="90">
        <f t="shared" si="64"/>
        <v>0</v>
      </c>
      <c r="AW163" s="324">
        <f t="shared" si="54"/>
        <v>0</v>
      </c>
      <c r="AX163" s="80">
        <f t="shared" si="65"/>
        <v>0</v>
      </c>
      <c r="AY163" s="326">
        <f t="shared" si="56"/>
        <v>3717.4444444444443</v>
      </c>
      <c r="AZ163" s="80">
        <f t="shared" si="57"/>
        <v>4307.8666666666668</v>
      </c>
    </row>
    <row r="164" spans="1:52">
      <c r="A164" s="91" t="s">
        <v>561</v>
      </c>
      <c r="B164" s="92" t="s">
        <v>577</v>
      </c>
      <c r="C164" s="218">
        <v>140076</v>
      </c>
      <c r="D164" s="93">
        <v>12</v>
      </c>
      <c r="E164" s="162" t="s">
        <v>563</v>
      </c>
      <c r="F164" s="163" t="s">
        <v>563</v>
      </c>
      <c r="G164" s="79">
        <v>14525</v>
      </c>
      <c r="H164" s="322">
        <v>12439</v>
      </c>
      <c r="I164" s="79">
        <v>12669</v>
      </c>
      <c r="J164" s="322">
        <v>11909</v>
      </c>
      <c r="K164" s="79">
        <v>11292</v>
      </c>
      <c r="L164" s="322">
        <v>10748</v>
      </c>
      <c r="M164" s="79">
        <v>13784</v>
      </c>
      <c r="N164" s="322">
        <v>14930</v>
      </c>
      <c r="O164" s="323">
        <f t="shared" si="44"/>
        <v>52270</v>
      </c>
      <c r="P164" s="638">
        <f t="shared" si="58"/>
        <v>52270</v>
      </c>
      <c r="Q164" s="351">
        <v>6568</v>
      </c>
      <c r="R164" s="90">
        <f t="shared" si="62"/>
        <v>1161.5555555555557</v>
      </c>
      <c r="S164" s="324">
        <f t="shared" si="46"/>
        <v>50026</v>
      </c>
      <c r="T164" s="638">
        <f t="shared" si="59"/>
        <v>50026</v>
      </c>
      <c r="U164" s="322">
        <v>6170</v>
      </c>
      <c r="V164" s="80">
        <f t="shared" si="63"/>
        <v>1111.6888888888889</v>
      </c>
      <c r="W164" s="79"/>
      <c r="X164" s="322"/>
      <c r="Y164" s="79"/>
      <c r="Z164" s="322"/>
      <c r="AA164" s="79"/>
      <c r="AB164" s="322"/>
      <c r="AC164" s="79"/>
      <c r="AD164" s="322"/>
      <c r="AE164" s="323">
        <f t="shared" si="48"/>
        <v>0</v>
      </c>
      <c r="AF164" s="638">
        <f t="shared" si="60"/>
        <v>0</v>
      </c>
      <c r="AG164" s="322"/>
      <c r="AH164" s="90">
        <f t="shared" si="49"/>
        <v>0</v>
      </c>
      <c r="AI164" s="80">
        <f t="shared" si="50"/>
        <v>0</v>
      </c>
      <c r="AJ164" s="638">
        <f t="shared" si="61"/>
        <v>0</v>
      </c>
      <c r="AK164" s="322"/>
      <c r="AL164" s="80">
        <f t="shared" si="51"/>
        <v>0</v>
      </c>
      <c r="AM164" s="79"/>
      <c r="AN164" s="322"/>
      <c r="AO164" s="79"/>
      <c r="AP164" s="322"/>
      <c r="AQ164" s="79"/>
      <c r="AR164" s="322"/>
      <c r="AS164" s="79"/>
      <c r="AT164" s="322"/>
      <c r="AU164" s="325">
        <f t="shared" si="52"/>
        <v>0</v>
      </c>
      <c r="AV164" s="90">
        <f t="shared" si="64"/>
        <v>0</v>
      </c>
      <c r="AW164" s="324">
        <f t="shared" si="54"/>
        <v>0</v>
      </c>
      <c r="AX164" s="80">
        <f t="shared" si="65"/>
        <v>0</v>
      </c>
      <c r="AY164" s="326">
        <f t="shared" si="56"/>
        <v>1161.5555555555557</v>
      </c>
      <c r="AZ164" s="80">
        <f t="shared" si="57"/>
        <v>1111.6888888888889</v>
      </c>
    </row>
    <row r="165" spans="1:52">
      <c r="A165" s="91" t="s">
        <v>561</v>
      </c>
      <c r="B165" s="92" t="s">
        <v>578</v>
      </c>
      <c r="C165" s="218">
        <v>140243</v>
      </c>
      <c r="D165" s="93">
        <v>12</v>
      </c>
      <c r="E165" s="162" t="s">
        <v>563</v>
      </c>
      <c r="F165" s="163" t="s">
        <v>563</v>
      </c>
      <c r="G165" s="79">
        <v>29326</v>
      </c>
      <c r="H165" s="322">
        <v>31781</v>
      </c>
      <c r="I165" s="79">
        <v>28725</v>
      </c>
      <c r="J165" s="322">
        <v>28350</v>
      </c>
      <c r="K165" s="79">
        <v>22778</v>
      </c>
      <c r="L165" s="322">
        <v>22929</v>
      </c>
      <c r="M165" s="79">
        <v>32464</v>
      </c>
      <c r="N165" s="322">
        <v>30690.5</v>
      </c>
      <c r="O165" s="323">
        <f t="shared" si="44"/>
        <v>113293</v>
      </c>
      <c r="P165" s="638">
        <f t="shared" si="58"/>
        <v>113293</v>
      </c>
      <c r="Q165" s="351">
        <v>3151</v>
      </c>
      <c r="R165" s="90">
        <f t="shared" si="62"/>
        <v>2517.6222222222223</v>
      </c>
      <c r="S165" s="324">
        <f t="shared" si="46"/>
        <v>113750.5</v>
      </c>
      <c r="T165" s="638">
        <f t="shared" si="59"/>
        <v>113750.5</v>
      </c>
      <c r="U165" s="322">
        <v>2786.5</v>
      </c>
      <c r="V165" s="80">
        <f t="shared" si="63"/>
        <v>2527.7888888888888</v>
      </c>
      <c r="W165" s="79"/>
      <c r="X165" s="322"/>
      <c r="Y165" s="79"/>
      <c r="Z165" s="322"/>
      <c r="AA165" s="79"/>
      <c r="AB165" s="322"/>
      <c r="AC165" s="79"/>
      <c r="AD165" s="322"/>
      <c r="AE165" s="323">
        <f t="shared" si="48"/>
        <v>0</v>
      </c>
      <c r="AF165" s="638">
        <f t="shared" si="60"/>
        <v>0</v>
      </c>
      <c r="AG165" s="322"/>
      <c r="AH165" s="90">
        <f t="shared" si="49"/>
        <v>0</v>
      </c>
      <c r="AI165" s="80">
        <f t="shared" si="50"/>
        <v>0</v>
      </c>
      <c r="AJ165" s="638">
        <f t="shared" si="61"/>
        <v>0</v>
      </c>
      <c r="AK165" s="322"/>
      <c r="AL165" s="80">
        <f t="shared" si="51"/>
        <v>0</v>
      </c>
      <c r="AM165" s="79"/>
      <c r="AN165" s="322"/>
      <c r="AO165" s="79"/>
      <c r="AP165" s="322"/>
      <c r="AQ165" s="79"/>
      <c r="AR165" s="322"/>
      <c r="AS165" s="79"/>
      <c r="AT165" s="322"/>
      <c r="AU165" s="325">
        <f t="shared" si="52"/>
        <v>0</v>
      </c>
      <c r="AV165" s="90">
        <f t="shared" si="64"/>
        <v>0</v>
      </c>
      <c r="AW165" s="324">
        <f t="shared" si="54"/>
        <v>0</v>
      </c>
      <c r="AX165" s="80">
        <f t="shared" si="65"/>
        <v>0</v>
      </c>
      <c r="AY165" s="326">
        <f t="shared" si="56"/>
        <v>2517.6222222222223</v>
      </c>
      <c r="AZ165" s="80">
        <f t="shared" si="57"/>
        <v>2527.7888888888888</v>
      </c>
    </row>
    <row r="166" spans="1:52">
      <c r="A166" s="91" t="s">
        <v>561</v>
      </c>
      <c r="B166" s="92" t="s">
        <v>579</v>
      </c>
      <c r="C166" s="218">
        <v>140085</v>
      </c>
      <c r="D166" s="93">
        <v>12</v>
      </c>
      <c r="E166" s="162" t="s">
        <v>563</v>
      </c>
      <c r="F166" s="163" t="s">
        <v>563</v>
      </c>
      <c r="G166" s="79">
        <v>28633</v>
      </c>
      <c r="H166" s="322">
        <v>29826</v>
      </c>
      <c r="I166" s="79">
        <v>26037</v>
      </c>
      <c r="J166" s="322">
        <v>30405</v>
      </c>
      <c r="K166" s="79">
        <v>23367</v>
      </c>
      <c r="L166" s="322">
        <v>23566</v>
      </c>
      <c r="M166" s="79">
        <v>32853</v>
      </c>
      <c r="N166" s="322">
        <v>29831</v>
      </c>
      <c r="O166" s="323">
        <f t="shared" si="44"/>
        <v>110890</v>
      </c>
      <c r="P166" s="638">
        <f t="shared" si="58"/>
        <v>110890</v>
      </c>
      <c r="Q166" s="351">
        <v>5039</v>
      </c>
      <c r="R166" s="90">
        <f t="shared" si="62"/>
        <v>2464.2222222222222</v>
      </c>
      <c r="S166" s="324">
        <f t="shared" si="46"/>
        <v>113628</v>
      </c>
      <c r="T166" s="638">
        <f t="shared" si="59"/>
        <v>113628</v>
      </c>
      <c r="U166" s="322">
        <v>6183</v>
      </c>
      <c r="V166" s="80">
        <f t="shared" si="63"/>
        <v>2525.0666666666666</v>
      </c>
      <c r="W166" s="79"/>
      <c r="X166" s="322"/>
      <c r="Y166" s="79"/>
      <c r="Z166" s="322"/>
      <c r="AA166" s="79"/>
      <c r="AB166" s="322"/>
      <c r="AC166" s="79"/>
      <c r="AD166" s="322"/>
      <c r="AE166" s="323">
        <f t="shared" si="48"/>
        <v>0</v>
      </c>
      <c r="AF166" s="638">
        <f t="shared" si="60"/>
        <v>0</v>
      </c>
      <c r="AG166" s="322"/>
      <c r="AH166" s="90">
        <f t="shared" si="49"/>
        <v>0</v>
      </c>
      <c r="AI166" s="80">
        <f t="shared" si="50"/>
        <v>0</v>
      </c>
      <c r="AJ166" s="638">
        <f t="shared" si="61"/>
        <v>0</v>
      </c>
      <c r="AK166" s="322"/>
      <c r="AL166" s="80">
        <f t="shared" si="51"/>
        <v>0</v>
      </c>
      <c r="AM166" s="79"/>
      <c r="AN166" s="322"/>
      <c r="AO166" s="79"/>
      <c r="AP166" s="322"/>
      <c r="AQ166" s="79"/>
      <c r="AR166" s="322"/>
      <c r="AS166" s="79"/>
      <c r="AT166" s="322"/>
      <c r="AU166" s="325">
        <f t="shared" si="52"/>
        <v>0</v>
      </c>
      <c r="AV166" s="90">
        <f t="shared" si="64"/>
        <v>0</v>
      </c>
      <c r="AW166" s="324">
        <f t="shared" si="54"/>
        <v>0</v>
      </c>
      <c r="AX166" s="80">
        <f t="shared" si="65"/>
        <v>0</v>
      </c>
      <c r="AY166" s="326">
        <f t="shared" si="56"/>
        <v>2464.2222222222222</v>
      </c>
      <c r="AZ166" s="80">
        <f t="shared" si="57"/>
        <v>2525.0666666666666</v>
      </c>
    </row>
    <row r="167" spans="1:52">
      <c r="A167" s="91" t="s">
        <v>561</v>
      </c>
      <c r="B167" s="92" t="s">
        <v>580</v>
      </c>
      <c r="C167" s="218">
        <v>140599</v>
      </c>
      <c r="D167" s="93">
        <v>12</v>
      </c>
      <c r="E167" s="162" t="s">
        <v>563</v>
      </c>
      <c r="F167" s="163" t="s">
        <v>563</v>
      </c>
      <c r="G167" s="79">
        <v>20408</v>
      </c>
      <c r="H167" s="322">
        <v>20992</v>
      </c>
      <c r="I167" s="79">
        <v>19334</v>
      </c>
      <c r="J167" s="322">
        <v>19199</v>
      </c>
      <c r="K167" s="79">
        <v>17729</v>
      </c>
      <c r="L167" s="322">
        <v>17239</v>
      </c>
      <c r="M167" s="79">
        <v>22524</v>
      </c>
      <c r="N167" s="322">
        <v>24359</v>
      </c>
      <c r="O167" s="323">
        <f t="shared" si="44"/>
        <v>79995</v>
      </c>
      <c r="P167" s="638">
        <f t="shared" si="58"/>
        <v>79995</v>
      </c>
      <c r="Q167" s="351">
        <v>7761</v>
      </c>
      <c r="R167" s="90">
        <f t="shared" si="62"/>
        <v>1777.6666666666667</v>
      </c>
      <c r="S167" s="324">
        <f t="shared" si="46"/>
        <v>81789</v>
      </c>
      <c r="T167" s="638">
        <f t="shared" si="59"/>
        <v>81789</v>
      </c>
      <c r="U167" s="322">
        <v>9166</v>
      </c>
      <c r="V167" s="80">
        <f t="shared" si="63"/>
        <v>1817.5333333333333</v>
      </c>
      <c r="W167" s="79"/>
      <c r="X167" s="322"/>
      <c r="Y167" s="79"/>
      <c r="Z167" s="322"/>
      <c r="AA167" s="79"/>
      <c r="AB167" s="322"/>
      <c r="AC167" s="79"/>
      <c r="AD167" s="322"/>
      <c r="AE167" s="323">
        <f t="shared" si="48"/>
        <v>0</v>
      </c>
      <c r="AF167" s="638">
        <f t="shared" si="60"/>
        <v>0</v>
      </c>
      <c r="AG167" s="322"/>
      <c r="AH167" s="90">
        <f t="shared" si="49"/>
        <v>0</v>
      </c>
      <c r="AI167" s="80">
        <f t="shared" si="50"/>
        <v>0</v>
      </c>
      <c r="AJ167" s="638">
        <f t="shared" si="61"/>
        <v>0</v>
      </c>
      <c r="AK167" s="322"/>
      <c r="AL167" s="80">
        <f t="shared" si="51"/>
        <v>0</v>
      </c>
      <c r="AM167" s="79"/>
      <c r="AN167" s="322"/>
      <c r="AO167" s="79"/>
      <c r="AP167" s="322"/>
      <c r="AQ167" s="79"/>
      <c r="AR167" s="322"/>
      <c r="AS167" s="79"/>
      <c r="AT167" s="322"/>
      <c r="AU167" s="325">
        <f t="shared" si="52"/>
        <v>0</v>
      </c>
      <c r="AV167" s="90">
        <f t="shared" si="64"/>
        <v>0</v>
      </c>
      <c r="AW167" s="324">
        <f t="shared" si="54"/>
        <v>0</v>
      </c>
      <c r="AX167" s="80">
        <f t="shared" si="65"/>
        <v>0</v>
      </c>
      <c r="AY167" s="326">
        <f t="shared" si="56"/>
        <v>1777.6666666666667</v>
      </c>
      <c r="AZ167" s="80">
        <f t="shared" si="57"/>
        <v>1817.5333333333333</v>
      </c>
    </row>
    <row r="168" spans="1:52">
      <c r="A168" s="91" t="s">
        <v>561</v>
      </c>
      <c r="B168" s="92" t="s">
        <v>581</v>
      </c>
      <c r="C168" s="218">
        <v>140678</v>
      </c>
      <c r="D168" s="93">
        <v>12</v>
      </c>
      <c r="E168" s="162" t="s">
        <v>563</v>
      </c>
      <c r="F168" s="163" t="s">
        <v>563</v>
      </c>
      <c r="G168" s="79">
        <v>23197</v>
      </c>
      <c r="H168" s="322">
        <v>22413</v>
      </c>
      <c r="I168" s="79">
        <v>20817</v>
      </c>
      <c r="J168" s="322">
        <v>21175</v>
      </c>
      <c r="K168" s="79">
        <v>18013</v>
      </c>
      <c r="L168" s="322">
        <v>18541</v>
      </c>
      <c r="M168" s="79">
        <v>23346</v>
      </c>
      <c r="N168" s="322">
        <v>25318</v>
      </c>
      <c r="O168" s="323">
        <f t="shared" si="44"/>
        <v>85373</v>
      </c>
      <c r="P168" s="638">
        <f t="shared" si="58"/>
        <v>85373</v>
      </c>
      <c r="Q168" s="351">
        <v>909</v>
      </c>
      <c r="R168" s="90">
        <f t="shared" si="62"/>
        <v>1897.1777777777777</v>
      </c>
      <c r="S168" s="324">
        <f t="shared" si="46"/>
        <v>87447</v>
      </c>
      <c r="T168" s="638">
        <f t="shared" si="59"/>
        <v>87447</v>
      </c>
      <c r="U168" s="322">
        <v>972.1</v>
      </c>
      <c r="V168" s="80">
        <f t="shared" si="63"/>
        <v>1943.2666666666667</v>
      </c>
      <c r="W168" s="79"/>
      <c r="X168" s="322"/>
      <c r="Y168" s="79"/>
      <c r="Z168" s="322"/>
      <c r="AA168" s="79"/>
      <c r="AB168" s="322"/>
      <c r="AC168" s="79"/>
      <c r="AD168" s="322"/>
      <c r="AE168" s="323">
        <f t="shared" si="48"/>
        <v>0</v>
      </c>
      <c r="AF168" s="638">
        <f t="shared" si="60"/>
        <v>0</v>
      </c>
      <c r="AG168" s="322"/>
      <c r="AH168" s="90">
        <f t="shared" si="49"/>
        <v>0</v>
      </c>
      <c r="AI168" s="80">
        <f t="shared" si="50"/>
        <v>0</v>
      </c>
      <c r="AJ168" s="638">
        <f t="shared" si="61"/>
        <v>0</v>
      </c>
      <c r="AK168" s="322"/>
      <c r="AL168" s="80">
        <f t="shared" si="51"/>
        <v>0</v>
      </c>
      <c r="AM168" s="79"/>
      <c r="AN168" s="322"/>
      <c r="AO168" s="79"/>
      <c r="AP168" s="322"/>
      <c r="AQ168" s="79"/>
      <c r="AR168" s="322"/>
      <c r="AS168" s="79"/>
      <c r="AT168" s="322"/>
      <c r="AU168" s="325">
        <f t="shared" si="52"/>
        <v>0</v>
      </c>
      <c r="AV168" s="90">
        <f t="shared" si="64"/>
        <v>0</v>
      </c>
      <c r="AW168" s="324">
        <f t="shared" si="54"/>
        <v>0</v>
      </c>
      <c r="AX168" s="80">
        <f t="shared" si="65"/>
        <v>0</v>
      </c>
      <c r="AY168" s="326">
        <f t="shared" si="56"/>
        <v>1897.1777777777777</v>
      </c>
      <c r="AZ168" s="80">
        <f t="shared" si="57"/>
        <v>1943.2666666666667</v>
      </c>
    </row>
    <row r="169" spans="1:52">
      <c r="A169" s="91" t="s">
        <v>561</v>
      </c>
      <c r="B169" s="105" t="s">
        <v>582</v>
      </c>
      <c r="C169" s="210">
        <v>366456</v>
      </c>
      <c r="D169" s="108">
        <v>12</v>
      </c>
      <c r="E169" s="162" t="s">
        <v>563</v>
      </c>
      <c r="F169" s="163" t="s">
        <v>563</v>
      </c>
      <c r="G169" s="79">
        <v>18911</v>
      </c>
      <c r="H169" s="322">
        <v>22703</v>
      </c>
      <c r="I169" s="79">
        <v>18327</v>
      </c>
      <c r="J169" s="322">
        <v>20861</v>
      </c>
      <c r="K169" s="79">
        <v>13614</v>
      </c>
      <c r="L169" s="322">
        <v>15368</v>
      </c>
      <c r="M169" s="79">
        <v>22746</v>
      </c>
      <c r="N169" s="322">
        <v>26940</v>
      </c>
      <c r="O169" s="323">
        <f t="shared" si="44"/>
        <v>73598</v>
      </c>
      <c r="P169" s="638">
        <f t="shared" si="58"/>
        <v>73598</v>
      </c>
      <c r="Q169" s="351">
        <v>1205</v>
      </c>
      <c r="R169" s="90">
        <f t="shared" si="62"/>
        <v>1635.5111111111112</v>
      </c>
      <c r="S169" s="324">
        <f t="shared" si="46"/>
        <v>85872</v>
      </c>
      <c r="T169" s="638">
        <f t="shared" si="59"/>
        <v>85872</v>
      </c>
      <c r="U169" s="322">
        <v>1605</v>
      </c>
      <c r="V169" s="80">
        <f t="shared" si="63"/>
        <v>1908.2666666666667</v>
      </c>
      <c r="W169" s="79"/>
      <c r="X169" s="322"/>
      <c r="Y169" s="79"/>
      <c r="Z169" s="322"/>
      <c r="AA169" s="79"/>
      <c r="AB169" s="322"/>
      <c r="AC169" s="79"/>
      <c r="AD169" s="322"/>
      <c r="AE169" s="323">
        <f t="shared" si="48"/>
        <v>0</v>
      </c>
      <c r="AF169" s="638">
        <f t="shared" si="60"/>
        <v>0</v>
      </c>
      <c r="AG169" s="322"/>
      <c r="AH169" s="90">
        <f t="shared" si="49"/>
        <v>0</v>
      </c>
      <c r="AI169" s="80">
        <f t="shared" si="50"/>
        <v>0</v>
      </c>
      <c r="AJ169" s="638">
        <f t="shared" si="61"/>
        <v>0</v>
      </c>
      <c r="AK169" s="322"/>
      <c r="AL169" s="80">
        <f t="shared" si="51"/>
        <v>0</v>
      </c>
      <c r="AM169" s="79"/>
      <c r="AN169" s="322"/>
      <c r="AO169" s="79"/>
      <c r="AP169" s="322"/>
      <c r="AQ169" s="79"/>
      <c r="AR169" s="322"/>
      <c r="AS169" s="79"/>
      <c r="AT169" s="322"/>
      <c r="AU169" s="325">
        <f t="shared" si="52"/>
        <v>0</v>
      </c>
      <c r="AV169" s="90">
        <f t="shared" si="64"/>
        <v>0</v>
      </c>
      <c r="AW169" s="324">
        <f t="shared" si="54"/>
        <v>0</v>
      </c>
      <c r="AX169" s="80">
        <f t="shared" si="65"/>
        <v>0</v>
      </c>
      <c r="AY169" s="326">
        <f t="shared" si="56"/>
        <v>1635.5111111111112</v>
      </c>
      <c r="AZ169" s="80">
        <f t="shared" si="57"/>
        <v>1908.2666666666667</v>
      </c>
    </row>
    <row r="170" spans="1:52">
      <c r="A170" s="91" t="s">
        <v>561</v>
      </c>
      <c r="B170" s="91" t="s">
        <v>583</v>
      </c>
      <c r="C170" s="211">
        <v>141273</v>
      </c>
      <c r="D170" s="93">
        <v>12</v>
      </c>
      <c r="E170" s="162" t="s">
        <v>563</v>
      </c>
      <c r="F170" s="163" t="s">
        <v>563</v>
      </c>
      <c r="G170" s="79">
        <v>21999</v>
      </c>
      <c r="H170" s="322">
        <v>22417</v>
      </c>
      <c r="I170" s="79">
        <v>20996</v>
      </c>
      <c r="J170" s="322">
        <v>22135</v>
      </c>
      <c r="K170" s="79">
        <v>14709</v>
      </c>
      <c r="L170" s="322">
        <v>16407</v>
      </c>
      <c r="M170" s="79">
        <v>24271</v>
      </c>
      <c r="N170" s="322">
        <v>25584</v>
      </c>
      <c r="O170" s="323">
        <f t="shared" si="44"/>
        <v>81975</v>
      </c>
      <c r="P170" s="638">
        <f t="shared" si="58"/>
        <v>81975</v>
      </c>
      <c r="Q170" s="351">
        <v>2970</v>
      </c>
      <c r="R170" s="90">
        <f t="shared" si="62"/>
        <v>1821.6666666666667</v>
      </c>
      <c r="S170" s="324">
        <f t="shared" si="46"/>
        <v>86543</v>
      </c>
      <c r="T170" s="638">
        <f t="shared" si="59"/>
        <v>86543</v>
      </c>
      <c r="U170" s="322">
        <v>3075</v>
      </c>
      <c r="V170" s="80">
        <f t="shared" si="63"/>
        <v>1923.1777777777777</v>
      </c>
      <c r="W170" s="79"/>
      <c r="X170" s="322"/>
      <c r="Y170" s="79"/>
      <c r="Z170" s="322"/>
      <c r="AA170" s="79"/>
      <c r="AB170" s="322"/>
      <c r="AC170" s="79"/>
      <c r="AD170" s="322"/>
      <c r="AE170" s="323">
        <f t="shared" si="48"/>
        <v>0</v>
      </c>
      <c r="AF170" s="638">
        <f t="shared" si="60"/>
        <v>0</v>
      </c>
      <c r="AG170" s="322"/>
      <c r="AH170" s="90">
        <f t="shared" si="49"/>
        <v>0</v>
      </c>
      <c r="AI170" s="80">
        <f t="shared" si="50"/>
        <v>0</v>
      </c>
      <c r="AJ170" s="638">
        <f t="shared" si="61"/>
        <v>0</v>
      </c>
      <c r="AK170" s="322"/>
      <c r="AL170" s="80">
        <f t="shared" si="51"/>
        <v>0</v>
      </c>
      <c r="AM170" s="79"/>
      <c r="AN170" s="322"/>
      <c r="AO170" s="79"/>
      <c r="AP170" s="322"/>
      <c r="AQ170" s="79"/>
      <c r="AR170" s="322"/>
      <c r="AS170" s="79"/>
      <c r="AT170" s="322"/>
      <c r="AU170" s="325">
        <f t="shared" si="52"/>
        <v>0</v>
      </c>
      <c r="AV170" s="90">
        <f t="shared" si="64"/>
        <v>0</v>
      </c>
      <c r="AW170" s="324">
        <f t="shared" si="54"/>
        <v>0</v>
      </c>
      <c r="AX170" s="80">
        <f t="shared" si="65"/>
        <v>0</v>
      </c>
      <c r="AY170" s="326">
        <f t="shared" si="56"/>
        <v>1821.6666666666667</v>
      </c>
      <c r="AZ170" s="80">
        <f t="shared" si="57"/>
        <v>1923.1777777777777</v>
      </c>
    </row>
    <row r="171" spans="1:52">
      <c r="A171" s="91" t="s">
        <v>561</v>
      </c>
      <c r="B171" s="105" t="s">
        <v>584</v>
      </c>
      <c r="C171" s="210">
        <v>366465</v>
      </c>
      <c r="D171" s="108">
        <v>12</v>
      </c>
      <c r="E171" s="162" t="s">
        <v>563</v>
      </c>
      <c r="F171" s="163" t="s">
        <v>563</v>
      </c>
      <c r="G171" s="79">
        <v>21437</v>
      </c>
      <c r="H171" s="322">
        <v>19476</v>
      </c>
      <c r="I171" s="79">
        <v>17958</v>
      </c>
      <c r="J171" s="322">
        <v>17850</v>
      </c>
      <c r="K171" s="79">
        <v>13363</v>
      </c>
      <c r="L171" s="322">
        <v>13572</v>
      </c>
      <c r="M171" s="79">
        <v>21105</v>
      </c>
      <c r="N171" s="322">
        <v>20739</v>
      </c>
      <c r="O171" s="323">
        <f t="shared" si="44"/>
        <v>73863</v>
      </c>
      <c r="P171" s="638">
        <f t="shared" si="58"/>
        <v>73863</v>
      </c>
      <c r="Q171" s="351">
        <v>779</v>
      </c>
      <c r="R171" s="90">
        <f t="shared" si="62"/>
        <v>1641.4</v>
      </c>
      <c r="S171" s="324">
        <f t="shared" si="46"/>
        <v>71637</v>
      </c>
      <c r="T171" s="638">
        <f t="shared" si="59"/>
        <v>71637</v>
      </c>
      <c r="U171" s="322">
        <v>1280</v>
      </c>
      <c r="V171" s="80">
        <f t="shared" si="63"/>
        <v>1591.9333333333334</v>
      </c>
      <c r="W171" s="79"/>
      <c r="X171" s="322"/>
      <c r="Y171" s="79"/>
      <c r="Z171" s="322"/>
      <c r="AA171" s="79"/>
      <c r="AB171" s="322"/>
      <c r="AC171" s="79"/>
      <c r="AD171" s="322"/>
      <c r="AE171" s="323">
        <f t="shared" si="48"/>
        <v>0</v>
      </c>
      <c r="AF171" s="638">
        <f t="shared" si="60"/>
        <v>0</v>
      </c>
      <c r="AG171" s="322"/>
      <c r="AH171" s="90">
        <f t="shared" si="49"/>
        <v>0</v>
      </c>
      <c r="AI171" s="80">
        <f t="shared" si="50"/>
        <v>0</v>
      </c>
      <c r="AJ171" s="638">
        <f t="shared" si="61"/>
        <v>0</v>
      </c>
      <c r="AK171" s="322"/>
      <c r="AL171" s="80">
        <f t="shared" si="51"/>
        <v>0</v>
      </c>
      <c r="AM171" s="79"/>
      <c r="AN171" s="322"/>
      <c r="AO171" s="79"/>
      <c r="AP171" s="322"/>
      <c r="AQ171" s="79"/>
      <c r="AR171" s="322"/>
      <c r="AS171" s="79"/>
      <c r="AT171" s="322"/>
      <c r="AU171" s="325">
        <f t="shared" si="52"/>
        <v>0</v>
      </c>
      <c r="AV171" s="90">
        <f t="shared" si="64"/>
        <v>0</v>
      </c>
      <c r="AW171" s="324">
        <f t="shared" si="54"/>
        <v>0</v>
      </c>
      <c r="AX171" s="80">
        <f t="shared" si="65"/>
        <v>0</v>
      </c>
      <c r="AY171" s="326">
        <f t="shared" si="56"/>
        <v>1641.4</v>
      </c>
      <c r="AZ171" s="80">
        <f t="shared" si="57"/>
        <v>1591.9333333333334</v>
      </c>
    </row>
    <row r="172" spans="1:52">
      <c r="A172" s="91" t="s">
        <v>561</v>
      </c>
      <c r="B172" s="91" t="s">
        <v>585</v>
      </c>
      <c r="C172" s="211">
        <v>248776</v>
      </c>
      <c r="D172" s="93">
        <v>12</v>
      </c>
      <c r="E172" s="162" t="s">
        <v>563</v>
      </c>
      <c r="F172" s="163" t="s">
        <v>563</v>
      </c>
      <c r="G172" s="79">
        <v>13694</v>
      </c>
      <c r="H172" s="322">
        <v>13366</v>
      </c>
      <c r="I172" s="79">
        <v>11968</v>
      </c>
      <c r="J172" s="322">
        <v>12115</v>
      </c>
      <c r="K172" s="79">
        <v>11935</v>
      </c>
      <c r="L172" s="322">
        <v>10978</v>
      </c>
      <c r="M172" s="79">
        <v>14352</v>
      </c>
      <c r="N172" s="322">
        <v>14066</v>
      </c>
      <c r="O172" s="323">
        <f t="shared" si="44"/>
        <v>51949</v>
      </c>
      <c r="P172" s="638">
        <f t="shared" si="58"/>
        <v>51949</v>
      </c>
      <c r="Q172" s="351">
        <v>3502.5</v>
      </c>
      <c r="R172" s="90">
        <f t="shared" si="62"/>
        <v>1154.4222222222222</v>
      </c>
      <c r="S172" s="324">
        <f t="shared" si="46"/>
        <v>50525</v>
      </c>
      <c r="T172" s="638">
        <f t="shared" si="59"/>
        <v>50525</v>
      </c>
      <c r="U172" s="322">
        <v>3476</v>
      </c>
      <c r="V172" s="80">
        <f t="shared" si="63"/>
        <v>1122.7777777777778</v>
      </c>
      <c r="W172" s="79"/>
      <c r="X172" s="322"/>
      <c r="Y172" s="79"/>
      <c r="Z172" s="322"/>
      <c r="AA172" s="79"/>
      <c r="AB172" s="322"/>
      <c r="AC172" s="79"/>
      <c r="AD172" s="322"/>
      <c r="AE172" s="323">
        <f t="shared" si="48"/>
        <v>0</v>
      </c>
      <c r="AF172" s="638">
        <f t="shared" si="60"/>
        <v>0</v>
      </c>
      <c r="AG172" s="322"/>
      <c r="AH172" s="90">
        <f t="shared" si="49"/>
        <v>0</v>
      </c>
      <c r="AI172" s="80">
        <f t="shared" si="50"/>
        <v>0</v>
      </c>
      <c r="AJ172" s="638">
        <f t="shared" si="61"/>
        <v>0</v>
      </c>
      <c r="AK172" s="322"/>
      <c r="AL172" s="80">
        <f t="shared" si="51"/>
        <v>0</v>
      </c>
      <c r="AM172" s="79"/>
      <c r="AN172" s="322"/>
      <c r="AO172" s="79"/>
      <c r="AP172" s="322"/>
      <c r="AQ172" s="79"/>
      <c r="AR172" s="322"/>
      <c r="AS172" s="79"/>
      <c r="AT172" s="322"/>
      <c r="AU172" s="325">
        <f t="shared" si="52"/>
        <v>0</v>
      </c>
      <c r="AV172" s="90">
        <f t="shared" si="64"/>
        <v>0</v>
      </c>
      <c r="AW172" s="324">
        <f t="shared" si="54"/>
        <v>0</v>
      </c>
      <c r="AX172" s="80">
        <f t="shared" si="65"/>
        <v>0</v>
      </c>
      <c r="AY172" s="326">
        <f t="shared" si="56"/>
        <v>1154.4222222222222</v>
      </c>
      <c r="AZ172" s="80">
        <f t="shared" si="57"/>
        <v>1122.7777777777778</v>
      </c>
    </row>
    <row r="173" spans="1:52">
      <c r="A173" s="91" t="s">
        <v>561</v>
      </c>
      <c r="B173" s="91" t="s">
        <v>586</v>
      </c>
      <c r="C173" s="211">
        <v>140942</v>
      </c>
      <c r="D173" s="93">
        <v>12</v>
      </c>
      <c r="E173" s="162" t="s">
        <v>563</v>
      </c>
      <c r="F173" s="163" t="s">
        <v>563</v>
      </c>
      <c r="G173" s="79">
        <v>41044</v>
      </c>
      <c r="H173" s="322">
        <v>43516</v>
      </c>
      <c r="I173" s="79">
        <v>37899</v>
      </c>
      <c r="J173" s="322">
        <v>41137</v>
      </c>
      <c r="K173" s="79">
        <v>29906</v>
      </c>
      <c r="L173" s="322">
        <v>35251</v>
      </c>
      <c r="M173" s="79">
        <v>44870</v>
      </c>
      <c r="N173" s="322">
        <v>49076</v>
      </c>
      <c r="O173" s="323">
        <f t="shared" si="44"/>
        <v>153719</v>
      </c>
      <c r="P173" s="638">
        <f t="shared" si="58"/>
        <v>153719</v>
      </c>
      <c r="Q173" s="351">
        <v>3306.1</v>
      </c>
      <c r="R173" s="90">
        <f t="shared" si="62"/>
        <v>3415.9777777777776</v>
      </c>
      <c r="S173" s="324">
        <f t="shared" si="46"/>
        <v>168980</v>
      </c>
      <c r="T173" s="638">
        <f t="shared" si="59"/>
        <v>168980</v>
      </c>
      <c r="U173" s="322">
        <v>4410</v>
      </c>
      <c r="V173" s="80">
        <f t="shared" si="63"/>
        <v>3755.1111111111113</v>
      </c>
      <c r="W173" s="79"/>
      <c r="X173" s="322"/>
      <c r="Y173" s="79"/>
      <c r="Z173" s="322"/>
      <c r="AA173" s="79"/>
      <c r="AB173" s="322"/>
      <c r="AC173" s="79"/>
      <c r="AD173" s="322"/>
      <c r="AE173" s="323">
        <f t="shared" si="48"/>
        <v>0</v>
      </c>
      <c r="AF173" s="638">
        <f t="shared" si="60"/>
        <v>0</v>
      </c>
      <c r="AG173" s="322"/>
      <c r="AH173" s="90">
        <f t="shared" si="49"/>
        <v>0</v>
      </c>
      <c r="AI173" s="80">
        <f t="shared" si="50"/>
        <v>0</v>
      </c>
      <c r="AJ173" s="638">
        <f t="shared" si="61"/>
        <v>0</v>
      </c>
      <c r="AK173" s="322"/>
      <c r="AL173" s="80">
        <f t="shared" si="51"/>
        <v>0</v>
      </c>
      <c r="AM173" s="79"/>
      <c r="AN173" s="322"/>
      <c r="AO173" s="79"/>
      <c r="AP173" s="322"/>
      <c r="AQ173" s="79"/>
      <c r="AR173" s="322"/>
      <c r="AS173" s="79"/>
      <c r="AT173" s="322"/>
      <c r="AU173" s="325">
        <f t="shared" si="52"/>
        <v>0</v>
      </c>
      <c r="AV173" s="90">
        <f t="shared" si="64"/>
        <v>0</v>
      </c>
      <c r="AW173" s="324">
        <f t="shared" si="54"/>
        <v>0</v>
      </c>
      <c r="AX173" s="80">
        <f t="shared" si="65"/>
        <v>0</v>
      </c>
      <c r="AY173" s="326">
        <f t="shared" si="56"/>
        <v>3415.9777777777776</v>
      </c>
      <c r="AZ173" s="80">
        <f t="shared" si="57"/>
        <v>3755.1111111111113</v>
      </c>
    </row>
    <row r="174" spans="1:52">
      <c r="A174" s="91" t="s">
        <v>561</v>
      </c>
      <c r="B174" s="91" t="s">
        <v>587</v>
      </c>
      <c r="C174" s="211">
        <v>141006</v>
      </c>
      <c r="D174" s="93">
        <v>12</v>
      </c>
      <c r="E174" s="162" t="s">
        <v>563</v>
      </c>
      <c r="F174" s="163" t="s">
        <v>563</v>
      </c>
      <c r="G174" s="79">
        <v>20272</v>
      </c>
      <c r="H174" s="322">
        <v>19548</v>
      </c>
      <c r="I174" s="79">
        <v>18258</v>
      </c>
      <c r="J174" s="322">
        <v>19291</v>
      </c>
      <c r="K174" s="79">
        <v>16654</v>
      </c>
      <c r="L174" s="322">
        <v>17501</v>
      </c>
      <c r="M174" s="79">
        <v>20630</v>
      </c>
      <c r="N174" s="322">
        <v>22969</v>
      </c>
      <c r="O174" s="323">
        <f t="shared" si="44"/>
        <v>75814</v>
      </c>
      <c r="P174" s="638">
        <f t="shared" si="58"/>
        <v>75814</v>
      </c>
      <c r="Q174" s="351">
        <v>3367</v>
      </c>
      <c r="R174" s="90">
        <f t="shared" si="62"/>
        <v>1684.7555555555555</v>
      </c>
      <c r="S174" s="324">
        <f t="shared" si="46"/>
        <v>79309</v>
      </c>
      <c r="T174" s="638">
        <f t="shared" si="59"/>
        <v>79309</v>
      </c>
      <c r="U174" s="322">
        <v>3627</v>
      </c>
      <c r="V174" s="80">
        <f t="shared" si="63"/>
        <v>1762.4222222222222</v>
      </c>
      <c r="W174" s="79"/>
      <c r="X174" s="322"/>
      <c r="Y174" s="79"/>
      <c r="Z174" s="322"/>
      <c r="AA174" s="79"/>
      <c r="AB174" s="322"/>
      <c r="AC174" s="79"/>
      <c r="AD174" s="322"/>
      <c r="AE174" s="323">
        <f t="shared" si="48"/>
        <v>0</v>
      </c>
      <c r="AF174" s="638">
        <f t="shared" si="60"/>
        <v>0</v>
      </c>
      <c r="AG174" s="322"/>
      <c r="AH174" s="90">
        <f t="shared" si="49"/>
        <v>0</v>
      </c>
      <c r="AI174" s="80">
        <f t="shared" si="50"/>
        <v>0</v>
      </c>
      <c r="AJ174" s="638">
        <f t="shared" si="61"/>
        <v>0</v>
      </c>
      <c r="AK174" s="322"/>
      <c r="AL174" s="80">
        <f t="shared" si="51"/>
        <v>0</v>
      </c>
      <c r="AM174" s="79"/>
      <c r="AN174" s="322"/>
      <c r="AO174" s="79"/>
      <c r="AP174" s="322"/>
      <c r="AQ174" s="79"/>
      <c r="AR174" s="322"/>
      <c r="AS174" s="79"/>
      <c r="AT174" s="322"/>
      <c r="AU174" s="325">
        <f t="shared" si="52"/>
        <v>0</v>
      </c>
      <c r="AV174" s="90">
        <f t="shared" si="64"/>
        <v>0</v>
      </c>
      <c r="AW174" s="324">
        <f t="shared" si="54"/>
        <v>0</v>
      </c>
      <c r="AX174" s="80">
        <f t="shared" si="65"/>
        <v>0</v>
      </c>
      <c r="AY174" s="326">
        <f t="shared" si="56"/>
        <v>1684.7555555555555</v>
      </c>
      <c r="AZ174" s="80">
        <f t="shared" si="57"/>
        <v>1762.4222222222222</v>
      </c>
    </row>
    <row r="175" spans="1:52">
      <c r="A175" s="91" t="s">
        <v>561</v>
      </c>
      <c r="B175" s="91" t="s">
        <v>589</v>
      </c>
      <c r="C175" s="211">
        <v>141158</v>
      </c>
      <c r="D175" s="93">
        <v>12</v>
      </c>
      <c r="E175" s="162" t="s">
        <v>563</v>
      </c>
      <c r="F175" s="163" t="s">
        <v>563</v>
      </c>
      <c r="G175" s="79">
        <v>12664</v>
      </c>
      <c r="H175" s="322">
        <v>12121.5</v>
      </c>
      <c r="I175" s="79">
        <v>10688.7</v>
      </c>
      <c r="J175" s="322">
        <v>10669</v>
      </c>
      <c r="K175" s="79">
        <v>10256.200000000001</v>
      </c>
      <c r="L175" s="322">
        <v>10679</v>
      </c>
      <c r="M175" s="79">
        <v>13231.4</v>
      </c>
      <c r="N175" s="322">
        <v>14205.1</v>
      </c>
      <c r="O175" s="323">
        <f t="shared" si="44"/>
        <v>46840.3</v>
      </c>
      <c r="P175" s="638">
        <f t="shared" si="58"/>
        <v>46840.3</v>
      </c>
      <c r="Q175" s="351">
        <v>3619.9</v>
      </c>
      <c r="R175" s="90">
        <f t="shared" si="62"/>
        <v>1040.8955555555556</v>
      </c>
      <c r="S175" s="324">
        <f t="shared" si="46"/>
        <v>47674.6</v>
      </c>
      <c r="T175" s="638">
        <f t="shared" si="59"/>
        <v>47674.6</v>
      </c>
      <c r="U175" s="322">
        <v>4596.6000000000004</v>
      </c>
      <c r="V175" s="80">
        <f t="shared" si="63"/>
        <v>1059.4355555555555</v>
      </c>
      <c r="W175" s="79"/>
      <c r="X175" s="322"/>
      <c r="Y175" s="79"/>
      <c r="Z175" s="322"/>
      <c r="AA175" s="79"/>
      <c r="AB175" s="322"/>
      <c r="AC175" s="79"/>
      <c r="AD175" s="322"/>
      <c r="AE175" s="323">
        <f t="shared" si="48"/>
        <v>0</v>
      </c>
      <c r="AF175" s="638">
        <f t="shared" si="60"/>
        <v>0</v>
      </c>
      <c r="AG175" s="322"/>
      <c r="AH175" s="90">
        <f t="shared" si="49"/>
        <v>0</v>
      </c>
      <c r="AI175" s="80">
        <f t="shared" si="50"/>
        <v>0</v>
      </c>
      <c r="AJ175" s="638">
        <f t="shared" si="61"/>
        <v>0</v>
      </c>
      <c r="AK175" s="322"/>
      <c r="AL175" s="80">
        <f t="shared" si="51"/>
        <v>0</v>
      </c>
      <c r="AM175" s="79"/>
      <c r="AN175" s="322"/>
      <c r="AO175" s="79"/>
      <c r="AP175" s="322"/>
      <c r="AQ175" s="79"/>
      <c r="AR175" s="322"/>
      <c r="AS175" s="79"/>
      <c r="AT175" s="322"/>
      <c r="AU175" s="325">
        <f t="shared" si="52"/>
        <v>0</v>
      </c>
      <c r="AV175" s="90">
        <f t="shared" si="64"/>
        <v>0</v>
      </c>
      <c r="AW175" s="324">
        <f t="shared" si="54"/>
        <v>0</v>
      </c>
      <c r="AX175" s="80">
        <f t="shared" si="65"/>
        <v>0</v>
      </c>
      <c r="AY175" s="326">
        <f t="shared" si="56"/>
        <v>1040.8955555555556</v>
      </c>
      <c r="AZ175" s="80">
        <f t="shared" si="57"/>
        <v>1059.4355555555555</v>
      </c>
    </row>
    <row r="176" spans="1:52">
      <c r="A176" s="91" t="s">
        <v>561</v>
      </c>
      <c r="B176" s="91" t="s">
        <v>590</v>
      </c>
      <c r="C176" s="211">
        <v>141255</v>
      </c>
      <c r="D176" s="93">
        <v>12</v>
      </c>
      <c r="E176" s="162" t="s">
        <v>563</v>
      </c>
      <c r="F176" s="163" t="s">
        <v>563</v>
      </c>
      <c r="G176" s="79">
        <v>23554</v>
      </c>
      <c r="H176" s="322">
        <v>24887</v>
      </c>
      <c r="I176" s="79">
        <v>20716</v>
      </c>
      <c r="J176" s="322">
        <v>22317</v>
      </c>
      <c r="K176" s="79">
        <v>19766</v>
      </c>
      <c r="L176" s="322">
        <v>19855</v>
      </c>
      <c r="M176" s="79">
        <v>24127</v>
      </c>
      <c r="N176" s="322">
        <v>24989</v>
      </c>
      <c r="O176" s="323">
        <f t="shared" si="44"/>
        <v>88163</v>
      </c>
      <c r="P176" s="638">
        <f t="shared" si="58"/>
        <v>88163</v>
      </c>
      <c r="Q176" s="351">
        <v>5771</v>
      </c>
      <c r="R176" s="90">
        <f t="shared" si="62"/>
        <v>1959.1777777777777</v>
      </c>
      <c r="S176" s="324">
        <f t="shared" si="46"/>
        <v>92048</v>
      </c>
      <c r="T176" s="638">
        <f t="shared" si="59"/>
        <v>92048</v>
      </c>
      <c r="U176" s="322">
        <v>5452</v>
      </c>
      <c r="V176" s="80">
        <f t="shared" si="63"/>
        <v>2045.5111111111112</v>
      </c>
      <c r="W176" s="79"/>
      <c r="X176" s="322"/>
      <c r="Y176" s="79"/>
      <c r="Z176" s="322"/>
      <c r="AA176" s="79"/>
      <c r="AB176" s="322"/>
      <c r="AC176" s="79"/>
      <c r="AD176" s="322"/>
      <c r="AE176" s="323">
        <f t="shared" si="48"/>
        <v>0</v>
      </c>
      <c r="AF176" s="638">
        <f t="shared" si="60"/>
        <v>0</v>
      </c>
      <c r="AG176" s="322"/>
      <c r="AH176" s="90">
        <f t="shared" si="49"/>
        <v>0</v>
      </c>
      <c r="AI176" s="80">
        <f t="shared" si="50"/>
        <v>0</v>
      </c>
      <c r="AJ176" s="638">
        <f t="shared" si="61"/>
        <v>0</v>
      </c>
      <c r="AK176" s="322"/>
      <c r="AL176" s="80">
        <f t="shared" si="51"/>
        <v>0</v>
      </c>
      <c r="AM176" s="79"/>
      <c r="AN176" s="322"/>
      <c r="AO176" s="79"/>
      <c r="AP176" s="322"/>
      <c r="AQ176" s="79"/>
      <c r="AR176" s="322"/>
      <c r="AS176" s="79"/>
      <c r="AT176" s="322"/>
      <c r="AU176" s="325">
        <f t="shared" si="52"/>
        <v>0</v>
      </c>
      <c r="AV176" s="90">
        <f t="shared" si="64"/>
        <v>0</v>
      </c>
      <c r="AW176" s="324">
        <f t="shared" si="54"/>
        <v>0</v>
      </c>
      <c r="AX176" s="80">
        <f t="shared" si="65"/>
        <v>0</v>
      </c>
      <c r="AY176" s="326">
        <f t="shared" si="56"/>
        <v>1959.1777777777777</v>
      </c>
      <c r="AZ176" s="80">
        <f t="shared" si="57"/>
        <v>2045.5111111111112</v>
      </c>
    </row>
    <row r="177" spans="1:52">
      <c r="A177" s="91" t="s">
        <v>561</v>
      </c>
      <c r="B177" s="92" t="s">
        <v>591</v>
      </c>
      <c r="C177" s="218">
        <v>139278</v>
      </c>
      <c r="D177" s="93">
        <v>12</v>
      </c>
      <c r="E177" s="162" t="s">
        <v>563</v>
      </c>
      <c r="F177" s="163" t="s">
        <v>563</v>
      </c>
      <c r="G177" s="79">
        <v>27581</v>
      </c>
      <c r="H177" s="322">
        <v>32513</v>
      </c>
      <c r="I177" s="79">
        <v>25720</v>
      </c>
      <c r="J177" s="322">
        <v>30952</v>
      </c>
      <c r="K177" s="79">
        <v>20763</v>
      </c>
      <c r="L177" s="322">
        <v>23525</v>
      </c>
      <c r="M177" s="79">
        <v>33042</v>
      </c>
      <c r="N177" s="322">
        <v>38345</v>
      </c>
      <c r="O177" s="323">
        <f t="shared" si="44"/>
        <v>107106</v>
      </c>
      <c r="P177" s="638">
        <f t="shared" si="58"/>
        <v>107106</v>
      </c>
      <c r="Q177" s="351">
        <v>4983</v>
      </c>
      <c r="R177" s="90">
        <f t="shared" si="62"/>
        <v>2380.1333333333332</v>
      </c>
      <c r="S177" s="324">
        <f t="shared" si="46"/>
        <v>125335</v>
      </c>
      <c r="T177" s="638">
        <f t="shared" si="59"/>
        <v>125335</v>
      </c>
      <c r="U177" s="322">
        <v>6293</v>
      </c>
      <c r="V177" s="80">
        <f t="shared" si="63"/>
        <v>2785.2222222222222</v>
      </c>
      <c r="W177" s="79"/>
      <c r="X177" s="322"/>
      <c r="Y177" s="79"/>
      <c r="Z177" s="322"/>
      <c r="AA177" s="79"/>
      <c r="AB177" s="322"/>
      <c r="AC177" s="79"/>
      <c r="AD177" s="322"/>
      <c r="AE177" s="323">
        <f t="shared" si="48"/>
        <v>0</v>
      </c>
      <c r="AF177" s="638">
        <f t="shared" si="60"/>
        <v>0</v>
      </c>
      <c r="AG177" s="322"/>
      <c r="AH177" s="90">
        <f t="shared" si="49"/>
        <v>0</v>
      </c>
      <c r="AI177" s="80">
        <f t="shared" si="50"/>
        <v>0</v>
      </c>
      <c r="AJ177" s="638">
        <f t="shared" si="61"/>
        <v>0</v>
      </c>
      <c r="AK177" s="322"/>
      <c r="AL177" s="80">
        <f t="shared" si="51"/>
        <v>0</v>
      </c>
      <c r="AM177" s="79"/>
      <c r="AN177" s="322"/>
      <c r="AO177" s="79"/>
      <c r="AP177" s="322"/>
      <c r="AQ177" s="79"/>
      <c r="AR177" s="322"/>
      <c r="AS177" s="79"/>
      <c r="AT177" s="322"/>
      <c r="AU177" s="325">
        <f t="shared" si="52"/>
        <v>0</v>
      </c>
      <c r="AV177" s="90">
        <f t="shared" si="64"/>
        <v>0</v>
      </c>
      <c r="AW177" s="324">
        <f t="shared" si="54"/>
        <v>0</v>
      </c>
      <c r="AX177" s="80">
        <f t="shared" si="65"/>
        <v>0</v>
      </c>
      <c r="AY177" s="326">
        <f t="shared" si="56"/>
        <v>2380.1333333333332</v>
      </c>
      <c r="AZ177" s="80">
        <f t="shared" si="57"/>
        <v>2785.2222222222222</v>
      </c>
    </row>
    <row r="178" spans="1:52">
      <c r="A178" s="91" t="s">
        <v>561</v>
      </c>
      <c r="B178" s="91" t="s">
        <v>592</v>
      </c>
      <c r="C178" s="211">
        <v>141228</v>
      </c>
      <c r="D178" s="93">
        <v>12</v>
      </c>
      <c r="E178" s="162" t="s">
        <v>563</v>
      </c>
      <c r="F178" s="163" t="s">
        <v>563</v>
      </c>
      <c r="G178" s="79">
        <v>17047</v>
      </c>
      <c r="H178" s="322">
        <v>16706</v>
      </c>
      <c r="I178" s="79">
        <v>15556.5</v>
      </c>
      <c r="J178" s="322">
        <v>15215</v>
      </c>
      <c r="K178" s="79">
        <v>13225</v>
      </c>
      <c r="L178" s="322">
        <v>12979</v>
      </c>
      <c r="M178" s="79">
        <v>17925</v>
      </c>
      <c r="N178" s="322">
        <v>18053</v>
      </c>
      <c r="O178" s="323">
        <f t="shared" si="44"/>
        <v>63753.5</v>
      </c>
      <c r="P178" s="638">
        <f t="shared" si="58"/>
        <v>63753.5</v>
      </c>
      <c r="Q178" s="351">
        <v>2782</v>
      </c>
      <c r="R178" s="90">
        <f t="shared" si="62"/>
        <v>1416.7444444444445</v>
      </c>
      <c r="S178" s="324">
        <f t="shared" si="46"/>
        <v>62953</v>
      </c>
      <c r="T178" s="638">
        <f t="shared" si="59"/>
        <v>62953</v>
      </c>
      <c r="U178" s="322">
        <v>2382</v>
      </c>
      <c r="V178" s="80">
        <f t="shared" si="63"/>
        <v>1398.9555555555555</v>
      </c>
      <c r="W178" s="79"/>
      <c r="X178" s="322"/>
      <c r="Y178" s="79"/>
      <c r="Z178" s="322"/>
      <c r="AA178" s="79"/>
      <c r="AB178" s="322"/>
      <c r="AC178" s="79"/>
      <c r="AD178" s="322"/>
      <c r="AE178" s="323">
        <f t="shared" si="48"/>
        <v>0</v>
      </c>
      <c r="AF178" s="638">
        <f t="shared" si="60"/>
        <v>0</v>
      </c>
      <c r="AG178" s="322"/>
      <c r="AH178" s="90">
        <f t="shared" si="49"/>
        <v>0</v>
      </c>
      <c r="AI178" s="80">
        <f t="shared" si="50"/>
        <v>0</v>
      </c>
      <c r="AJ178" s="638">
        <f t="shared" si="61"/>
        <v>0</v>
      </c>
      <c r="AK178" s="322"/>
      <c r="AL178" s="80">
        <f t="shared" si="51"/>
        <v>0</v>
      </c>
      <c r="AM178" s="79"/>
      <c r="AN178" s="322"/>
      <c r="AO178" s="79"/>
      <c r="AP178" s="322"/>
      <c r="AQ178" s="79"/>
      <c r="AR178" s="322"/>
      <c r="AS178" s="79"/>
      <c r="AT178" s="322"/>
      <c r="AU178" s="325">
        <f t="shared" si="52"/>
        <v>0</v>
      </c>
      <c r="AV178" s="90">
        <f t="shared" si="64"/>
        <v>0</v>
      </c>
      <c r="AW178" s="324">
        <f t="shared" si="54"/>
        <v>0</v>
      </c>
      <c r="AX178" s="80">
        <f t="shared" si="65"/>
        <v>0</v>
      </c>
      <c r="AY178" s="326">
        <f t="shared" si="56"/>
        <v>1416.7444444444445</v>
      </c>
      <c r="AZ178" s="80">
        <f t="shared" si="57"/>
        <v>1398.9555555555555</v>
      </c>
    </row>
    <row r="179" spans="1:52">
      <c r="A179" s="91" t="s">
        <v>561</v>
      </c>
      <c r="B179" s="92" t="s">
        <v>564</v>
      </c>
      <c r="C179" s="218">
        <v>366447</v>
      </c>
      <c r="D179" s="93">
        <v>13</v>
      </c>
      <c r="E179" s="162" t="s">
        <v>563</v>
      </c>
      <c r="F179" s="163" t="s">
        <v>563</v>
      </c>
      <c r="G179" s="79">
        <v>10381</v>
      </c>
      <c r="H179" s="322">
        <v>8528</v>
      </c>
      <c r="I179" s="79">
        <v>9626</v>
      </c>
      <c r="J179" s="322">
        <v>8177</v>
      </c>
      <c r="K179" s="79">
        <v>7801</v>
      </c>
      <c r="L179" s="329">
        <v>7112</v>
      </c>
      <c r="M179" s="79">
        <v>8850</v>
      </c>
      <c r="N179" s="322">
        <v>8984</v>
      </c>
      <c r="O179" s="323">
        <f t="shared" si="44"/>
        <v>36658</v>
      </c>
      <c r="P179" s="638">
        <f t="shared" si="58"/>
        <v>36658</v>
      </c>
      <c r="Q179" s="351">
        <v>2265.3000000000002</v>
      </c>
      <c r="R179" s="90">
        <f t="shared" si="62"/>
        <v>814.62222222222226</v>
      </c>
      <c r="S179" s="324">
        <f t="shared" si="46"/>
        <v>32801</v>
      </c>
      <c r="T179" s="638">
        <f t="shared" si="59"/>
        <v>32801</v>
      </c>
      <c r="U179" s="322">
        <v>2109</v>
      </c>
      <c r="V179" s="80">
        <f t="shared" si="63"/>
        <v>728.91111111111115</v>
      </c>
      <c r="W179" s="79"/>
      <c r="X179" s="322"/>
      <c r="Y179" s="79"/>
      <c r="Z179" s="322"/>
      <c r="AA179" s="79"/>
      <c r="AB179" s="322"/>
      <c r="AC179" s="79"/>
      <c r="AD179" s="322"/>
      <c r="AE179" s="323">
        <f t="shared" si="48"/>
        <v>0</v>
      </c>
      <c r="AF179" s="638">
        <f t="shared" si="60"/>
        <v>0</v>
      </c>
      <c r="AG179" s="322"/>
      <c r="AH179" s="90">
        <f t="shared" si="49"/>
        <v>0</v>
      </c>
      <c r="AI179" s="80">
        <f t="shared" si="50"/>
        <v>0</v>
      </c>
      <c r="AJ179" s="638">
        <f t="shared" si="61"/>
        <v>0</v>
      </c>
      <c r="AK179" s="322"/>
      <c r="AL179" s="80">
        <f t="shared" si="51"/>
        <v>0</v>
      </c>
      <c r="AM179" s="79"/>
      <c r="AN179" s="322"/>
      <c r="AO179" s="79"/>
      <c r="AP179" s="322"/>
      <c r="AQ179" s="79"/>
      <c r="AR179" s="322"/>
      <c r="AS179" s="79"/>
      <c r="AT179" s="322"/>
      <c r="AU179" s="325">
        <f t="shared" si="52"/>
        <v>0</v>
      </c>
      <c r="AV179" s="90">
        <f t="shared" si="64"/>
        <v>0</v>
      </c>
      <c r="AW179" s="324">
        <f t="shared" si="54"/>
        <v>0</v>
      </c>
      <c r="AX179" s="80">
        <f t="shared" si="65"/>
        <v>0</v>
      </c>
      <c r="AY179" s="326">
        <f t="shared" si="56"/>
        <v>814.62222222222226</v>
      </c>
      <c r="AZ179" s="80">
        <f t="shared" si="57"/>
        <v>728.91111111111115</v>
      </c>
    </row>
    <row r="180" spans="1:52">
      <c r="A180" s="91" t="s">
        <v>561</v>
      </c>
      <c r="B180" s="91" t="s">
        <v>593</v>
      </c>
      <c r="C180" s="211">
        <v>140809</v>
      </c>
      <c r="D180" s="93">
        <v>13</v>
      </c>
      <c r="E180" s="162" t="s">
        <v>563</v>
      </c>
      <c r="F180" s="163" t="s">
        <v>563</v>
      </c>
      <c r="G180" s="79">
        <v>10143</v>
      </c>
      <c r="H180" s="322">
        <v>8296</v>
      </c>
      <c r="I180" s="79">
        <v>7940</v>
      </c>
      <c r="J180" s="322">
        <v>8974</v>
      </c>
      <c r="K180" s="79">
        <v>6190</v>
      </c>
      <c r="L180" s="322">
        <v>7772</v>
      </c>
      <c r="M180" s="79">
        <v>9351</v>
      </c>
      <c r="N180" s="322">
        <v>11198</v>
      </c>
      <c r="O180" s="323">
        <f t="shared" si="44"/>
        <v>33624</v>
      </c>
      <c r="P180" s="638">
        <f t="shared" si="58"/>
        <v>33624</v>
      </c>
      <c r="Q180" s="351">
        <v>612.29999999999995</v>
      </c>
      <c r="R180" s="90">
        <f t="shared" si="62"/>
        <v>747.2</v>
      </c>
      <c r="S180" s="324">
        <f t="shared" si="46"/>
        <v>36240</v>
      </c>
      <c r="T180" s="638">
        <f t="shared" si="59"/>
        <v>36240</v>
      </c>
      <c r="U180" s="322">
        <v>424.8</v>
      </c>
      <c r="V180" s="80">
        <f t="shared" si="63"/>
        <v>805.33333333333337</v>
      </c>
      <c r="W180" s="79"/>
      <c r="X180" s="322"/>
      <c r="Y180" s="79"/>
      <c r="Z180" s="322"/>
      <c r="AA180" s="79"/>
      <c r="AB180" s="322"/>
      <c r="AC180" s="79"/>
      <c r="AD180" s="322"/>
      <c r="AE180" s="323">
        <f t="shared" si="48"/>
        <v>0</v>
      </c>
      <c r="AF180" s="638">
        <f t="shared" si="60"/>
        <v>0</v>
      </c>
      <c r="AG180" s="322"/>
      <c r="AH180" s="90">
        <f t="shared" si="49"/>
        <v>0</v>
      </c>
      <c r="AI180" s="80">
        <f t="shared" si="50"/>
        <v>0</v>
      </c>
      <c r="AJ180" s="638">
        <f t="shared" si="61"/>
        <v>0</v>
      </c>
      <c r="AK180" s="322"/>
      <c r="AL180" s="80">
        <f t="shared" si="51"/>
        <v>0</v>
      </c>
      <c r="AM180" s="79"/>
      <c r="AN180" s="322"/>
      <c r="AO180" s="79"/>
      <c r="AP180" s="322"/>
      <c r="AQ180" s="79"/>
      <c r="AR180" s="322"/>
      <c r="AS180" s="79"/>
      <c r="AT180" s="322"/>
      <c r="AU180" s="325">
        <f t="shared" si="52"/>
        <v>0</v>
      </c>
      <c r="AV180" s="90">
        <f t="shared" si="64"/>
        <v>0</v>
      </c>
      <c r="AW180" s="324">
        <f t="shared" si="54"/>
        <v>0</v>
      </c>
      <c r="AX180" s="80">
        <f t="shared" si="65"/>
        <v>0</v>
      </c>
      <c r="AY180" s="326">
        <f t="shared" si="56"/>
        <v>747.2</v>
      </c>
      <c r="AZ180" s="80">
        <f t="shared" si="57"/>
        <v>805.33333333333337</v>
      </c>
    </row>
    <row r="181" spans="1:52">
      <c r="A181" s="91" t="s">
        <v>561</v>
      </c>
      <c r="B181" s="92" t="s">
        <v>574</v>
      </c>
      <c r="C181" s="218">
        <v>248794</v>
      </c>
      <c r="D181" s="93">
        <v>13</v>
      </c>
      <c r="E181" s="162" t="s">
        <v>563</v>
      </c>
      <c r="F181" s="163" t="s">
        <v>563</v>
      </c>
      <c r="G181" s="79">
        <v>9383.7999999999993</v>
      </c>
      <c r="H181" s="322">
        <v>9185</v>
      </c>
      <c r="I181" s="79">
        <v>8883.6</v>
      </c>
      <c r="J181" s="322">
        <v>9073</v>
      </c>
      <c r="K181" s="79">
        <v>8458.5</v>
      </c>
      <c r="L181" s="322">
        <v>8428</v>
      </c>
      <c r="M181" s="79">
        <v>10114</v>
      </c>
      <c r="N181" s="322">
        <v>10473</v>
      </c>
      <c r="O181" s="323">
        <f t="shared" si="44"/>
        <v>36839.9</v>
      </c>
      <c r="P181" s="638">
        <f t="shared" si="58"/>
        <v>36839.9</v>
      </c>
      <c r="Q181" s="351">
        <v>1532</v>
      </c>
      <c r="R181" s="90">
        <f t="shared" si="62"/>
        <v>818.66444444444448</v>
      </c>
      <c r="S181" s="324">
        <f t="shared" si="46"/>
        <v>37159</v>
      </c>
      <c r="T181" s="638">
        <f t="shared" si="59"/>
        <v>37159</v>
      </c>
      <c r="U181" s="322">
        <v>1156</v>
      </c>
      <c r="V181" s="80">
        <f t="shared" si="63"/>
        <v>825.75555555555559</v>
      </c>
      <c r="W181" s="79"/>
      <c r="X181" s="322"/>
      <c r="Y181" s="79"/>
      <c r="Z181" s="322"/>
      <c r="AA181" s="79"/>
      <c r="AB181" s="322"/>
      <c r="AC181" s="79"/>
      <c r="AD181" s="322"/>
      <c r="AE181" s="323">
        <f t="shared" si="48"/>
        <v>0</v>
      </c>
      <c r="AF181" s="638">
        <f t="shared" si="60"/>
        <v>0</v>
      </c>
      <c r="AG181" s="322"/>
      <c r="AH181" s="90">
        <f t="shared" si="49"/>
        <v>0</v>
      </c>
      <c r="AI181" s="80">
        <f t="shared" si="50"/>
        <v>0</v>
      </c>
      <c r="AJ181" s="638">
        <f t="shared" si="61"/>
        <v>0</v>
      </c>
      <c r="AK181" s="322"/>
      <c r="AL181" s="80">
        <f t="shared" si="51"/>
        <v>0</v>
      </c>
      <c r="AM181" s="79"/>
      <c r="AN181" s="322"/>
      <c r="AO181" s="79"/>
      <c r="AP181" s="322"/>
      <c r="AQ181" s="79"/>
      <c r="AR181" s="322"/>
      <c r="AS181" s="79"/>
      <c r="AT181" s="322"/>
      <c r="AU181" s="325">
        <f t="shared" si="52"/>
        <v>0</v>
      </c>
      <c r="AV181" s="90">
        <f t="shared" si="64"/>
        <v>0</v>
      </c>
      <c r="AW181" s="324">
        <f t="shared" si="54"/>
        <v>0</v>
      </c>
      <c r="AX181" s="80">
        <f t="shared" si="65"/>
        <v>0</v>
      </c>
      <c r="AY181" s="326">
        <f t="shared" si="56"/>
        <v>818.66444444444448</v>
      </c>
      <c r="AZ181" s="80">
        <f t="shared" si="57"/>
        <v>825.75555555555559</v>
      </c>
    </row>
    <row r="182" spans="1:52">
      <c r="A182" s="91" t="s">
        <v>561</v>
      </c>
      <c r="B182" s="91" t="s">
        <v>594</v>
      </c>
      <c r="C182" s="211">
        <v>420431</v>
      </c>
      <c r="D182" s="93">
        <v>13</v>
      </c>
      <c r="E182" s="162" t="s">
        <v>563</v>
      </c>
      <c r="F182" s="163" t="s">
        <v>563</v>
      </c>
      <c r="G182" s="79">
        <v>6912</v>
      </c>
      <c r="H182" s="322">
        <v>6349</v>
      </c>
      <c r="I182" s="79">
        <v>6920</v>
      </c>
      <c r="J182" s="322">
        <v>5833</v>
      </c>
      <c r="K182" s="79">
        <v>6168</v>
      </c>
      <c r="L182" s="322">
        <v>5712</v>
      </c>
      <c r="M182" s="79">
        <v>6867</v>
      </c>
      <c r="N182" s="322">
        <v>7671</v>
      </c>
      <c r="O182" s="323">
        <f t="shared" si="44"/>
        <v>26867</v>
      </c>
      <c r="P182" s="638">
        <f t="shared" si="58"/>
        <v>26867</v>
      </c>
      <c r="Q182" s="351">
        <v>3635</v>
      </c>
      <c r="R182" s="90">
        <f t="shared" si="62"/>
        <v>597.04444444444448</v>
      </c>
      <c r="S182" s="324">
        <f t="shared" si="46"/>
        <v>25565</v>
      </c>
      <c r="T182" s="638">
        <f t="shared" si="59"/>
        <v>25565</v>
      </c>
      <c r="U182" s="322">
        <v>3714</v>
      </c>
      <c r="V182" s="80">
        <f t="shared" si="63"/>
        <v>568.11111111111109</v>
      </c>
      <c r="W182" s="79"/>
      <c r="X182" s="322"/>
      <c r="Y182" s="79"/>
      <c r="Z182" s="322"/>
      <c r="AA182" s="79"/>
      <c r="AB182" s="322"/>
      <c r="AC182" s="79"/>
      <c r="AD182" s="322"/>
      <c r="AE182" s="323">
        <f t="shared" si="48"/>
        <v>0</v>
      </c>
      <c r="AF182" s="638">
        <f t="shared" si="60"/>
        <v>0</v>
      </c>
      <c r="AG182" s="322"/>
      <c r="AH182" s="90">
        <f t="shared" si="49"/>
        <v>0</v>
      </c>
      <c r="AI182" s="80">
        <f t="shared" si="50"/>
        <v>0</v>
      </c>
      <c r="AJ182" s="638">
        <f t="shared" si="61"/>
        <v>0</v>
      </c>
      <c r="AK182" s="322"/>
      <c r="AL182" s="80">
        <f t="shared" si="51"/>
        <v>0</v>
      </c>
      <c r="AM182" s="79"/>
      <c r="AN182" s="322"/>
      <c r="AO182" s="79"/>
      <c r="AP182" s="322"/>
      <c r="AQ182" s="79"/>
      <c r="AR182" s="322"/>
      <c r="AS182" s="79"/>
      <c r="AT182" s="322"/>
      <c r="AU182" s="325">
        <f t="shared" si="52"/>
        <v>0</v>
      </c>
      <c r="AV182" s="90">
        <f t="shared" si="64"/>
        <v>0</v>
      </c>
      <c r="AW182" s="324">
        <f t="shared" si="54"/>
        <v>0</v>
      </c>
      <c r="AX182" s="80">
        <f t="shared" si="65"/>
        <v>0</v>
      </c>
      <c r="AY182" s="326">
        <f t="shared" si="56"/>
        <v>597.04444444444448</v>
      </c>
      <c r="AZ182" s="80">
        <f t="shared" si="57"/>
        <v>568.11111111111109</v>
      </c>
    </row>
    <row r="183" spans="1:52">
      <c r="A183" s="91" t="s">
        <v>561</v>
      </c>
      <c r="B183" s="91" t="s">
        <v>588</v>
      </c>
      <c r="C183" s="211">
        <v>368911</v>
      </c>
      <c r="D183" s="93">
        <v>13</v>
      </c>
      <c r="E183" s="162" t="s">
        <v>563</v>
      </c>
      <c r="F183" s="163" t="s">
        <v>563</v>
      </c>
      <c r="G183" s="79">
        <v>9165</v>
      </c>
      <c r="H183" s="322">
        <v>9628</v>
      </c>
      <c r="I183" s="79">
        <v>8558</v>
      </c>
      <c r="J183" s="322">
        <v>9906</v>
      </c>
      <c r="K183" s="79">
        <v>7195</v>
      </c>
      <c r="L183" s="322">
        <v>7805</v>
      </c>
      <c r="M183" s="79">
        <v>9554</v>
      </c>
      <c r="N183" s="322">
        <v>10910</v>
      </c>
      <c r="O183" s="323">
        <f t="shared" si="44"/>
        <v>34472</v>
      </c>
      <c r="P183" s="638">
        <f t="shared" si="58"/>
        <v>34472</v>
      </c>
      <c r="Q183" s="351">
        <v>753</v>
      </c>
      <c r="R183" s="90">
        <f t="shared" si="62"/>
        <v>766.04444444444448</v>
      </c>
      <c r="S183" s="324">
        <f t="shared" si="46"/>
        <v>38249</v>
      </c>
      <c r="T183" s="638">
        <f t="shared" si="59"/>
        <v>38249</v>
      </c>
      <c r="U183" s="322">
        <v>1215</v>
      </c>
      <c r="V183" s="80">
        <f t="shared" si="63"/>
        <v>849.97777777777776</v>
      </c>
      <c r="W183" s="79"/>
      <c r="X183" s="322"/>
      <c r="Y183" s="79"/>
      <c r="Z183" s="322"/>
      <c r="AA183" s="79"/>
      <c r="AB183" s="322"/>
      <c r="AC183" s="79"/>
      <c r="AD183" s="322"/>
      <c r="AE183" s="323">
        <f t="shared" si="48"/>
        <v>0</v>
      </c>
      <c r="AF183" s="638">
        <f t="shared" si="60"/>
        <v>0</v>
      </c>
      <c r="AG183" s="322"/>
      <c r="AH183" s="90">
        <f t="shared" si="49"/>
        <v>0</v>
      </c>
      <c r="AI183" s="80">
        <f t="shared" si="50"/>
        <v>0</v>
      </c>
      <c r="AJ183" s="638">
        <f t="shared" si="61"/>
        <v>0</v>
      </c>
      <c r="AK183" s="322"/>
      <c r="AL183" s="80">
        <f t="shared" si="51"/>
        <v>0</v>
      </c>
      <c r="AM183" s="79"/>
      <c r="AN183" s="322"/>
      <c r="AO183" s="79"/>
      <c r="AP183" s="322"/>
      <c r="AQ183" s="79"/>
      <c r="AR183" s="322"/>
      <c r="AS183" s="79"/>
      <c r="AT183" s="322"/>
      <c r="AU183" s="325">
        <f t="shared" si="52"/>
        <v>0</v>
      </c>
      <c r="AV183" s="90">
        <f t="shared" si="64"/>
        <v>0</v>
      </c>
      <c r="AW183" s="324">
        <f t="shared" si="54"/>
        <v>0</v>
      </c>
      <c r="AX183" s="80">
        <f t="shared" si="65"/>
        <v>0</v>
      </c>
      <c r="AY183" s="326">
        <f t="shared" si="56"/>
        <v>766.04444444444448</v>
      </c>
      <c r="AZ183" s="80">
        <f t="shared" si="57"/>
        <v>849.97777777777776</v>
      </c>
    </row>
    <row r="184" spans="1:52">
      <c r="A184" s="91" t="s">
        <v>561</v>
      </c>
      <c r="B184" s="91" t="s">
        <v>595</v>
      </c>
      <c r="C184" s="211">
        <v>141121</v>
      </c>
      <c r="D184" s="93">
        <v>13</v>
      </c>
      <c r="E184" s="162" t="s">
        <v>563</v>
      </c>
      <c r="F184" s="163" t="s">
        <v>563</v>
      </c>
      <c r="G184" s="79">
        <v>6394</v>
      </c>
      <c r="H184" s="322">
        <v>6180</v>
      </c>
      <c r="I184" s="79">
        <v>5655</v>
      </c>
      <c r="J184" s="322">
        <v>5895</v>
      </c>
      <c r="K184" s="79">
        <v>5276</v>
      </c>
      <c r="L184" s="322">
        <v>5646</v>
      </c>
      <c r="M184" s="79">
        <v>7140</v>
      </c>
      <c r="N184" s="322">
        <v>6763</v>
      </c>
      <c r="O184" s="323">
        <f t="shared" si="44"/>
        <v>24465</v>
      </c>
      <c r="P184" s="638">
        <f t="shared" si="58"/>
        <v>24465</v>
      </c>
      <c r="Q184" s="351">
        <v>2065</v>
      </c>
      <c r="R184" s="90">
        <f t="shared" si="62"/>
        <v>543.66666666666663</v>
      </c>
      <c r="S184" s="324">
        <f t="shared" si="46"/>
        <v>24484</v>
      </c>
      <c r="T184" s="638">
        <f t="shared" si="59"/>
        <v>24484</v>
      </c>
      <c r="U184" s="322">
        <v>2668</v>
      </c>
      <c r="V184" s="80">
        <f t="shared" si="63"/>
        <v>544.08888888888885</v>
      </c>
      <c r="W184" s="79"/>
      <c r="X184" s="322"/>
      <c r="Y184" s="79"/>
      <c r="Z184" s="322"/>
      <c r="AA184" s="79"/>
      <c r="AB184" s="322"/>
      <c r="AC184" s="79"/>
      <c r="AD184" s="322"/>
      <c r="AE184" s="323">
        <f t="shared" si="48"/>
        <v>0</v>
      </c>
      <c r="AF184" s="638">
        <f t="shared" si="60"/>
        <v>0</v>
      </c>
      <c r="AG184" s="322"/>
      <c r="AH184" s="90">
        <f t="shared" si="49"/>
        <v>0</v>
      </c>
      <c r="AI184" s="80">
        <f t="shared" si="50"/>
        <v>0</v>
      </c>
      <c r="AJ184" s="638">
        <f t="shared" si="61"/>
        <v>0</v>
      </c>
      <c r="AK184" s="322"/>
      <c r="AL184" s="80">
        <f t="shared" si="51"/>
        <v>0</v>
      </c>
      <c r="AM184" s="79"/>
      <c r="AN184" s="322"/>
      <c r="AO184" s="79"/>
      <c r="AP184" s="322"/>
      <c r="AQ184" s="79"/>
      <c r="AR184" s="322"/>
      <c r="AS184" s="79"/>
      <c r="AT184" s="322"/>
      <c r="AU184" s="325">
        <f t="shared" si="52"/>
        <v>0</v>
      </c>
      <c r="AV184" s="90">
        <f t="shared" si="64"/>
        <v>0</v>
      </c>
      <c r="AW184" s="324">
        <f t="shared" si="54"/>
        <v>0</v>
      </c>
      <c r="AX184" s="80">
        <f t="shared" si="65"/>
        <v>0</v>
      </c>
      <c r="AY184" s="326">
        <f t="shared" si="56"/>
        <v>543.66666666666663</v>
      </c>
      <c r="AZ184" s="80">
        <f t="shared" si="57"/>
        <v>544.08888888888885</v>
      </c>
    </row>
    <row r="185" spans="1:52">
      <c r="A185" s="94" t="s">
        <v>561</v>
      </c>
      <c r="B185" s="418" t="s">
        <v>419</v>
      </c>
      <c r="C185" s="222">
        <v>447689</v>
      </c>
      <c r="D185" s="419">
        <v>15</v>
      </c>
      <c r="E185" s="162" t="s">
        <v>442</v>
      </c>
      <c r="F185" s="163" t="s">
        <v>442</v>
      </c>
      <c r="G185" s="79"/>
      <c r="H185" s="322"/>
      <c r="I185" s="79">
        <f>113+980</f>
        <v>1093</v>
      </c>
      <c r="J185" s="322">
        <f>8282+1882</f>
        <v>10164</v>
      </c>
      <c r="K185" s="79">
        <f>311+84</f>
        <v>395</v>
      </c>
      <c r="L185" s="322">
        <f>1933+732</f>
        <v>2665</v>
      </c>
      <c r="M185" s="79">
        <f>7632+1572</f>
        <v>9204</v>
      </c>
      <c r="N185" s="322">
        <f>15804+2346</f>
        <v>18150</v>
      </c>
      <c r="O185" s="323">
        <f t="shared" si="44"/>
        <v>10692</v>
      </c>
      <c r="P185" s="638">
        <f t="shared" si="58"/>
        <v>10692</v>
      </c>
      <c r="Q185" s="351">
        <v>0</v>
      </c>
      <c r="R185" s="90">
        <f t="shared" ref="R185:R210" si="66">+O185/30</f>
        <v>356.4</v>
      </c>
      <c r="S185" s="324">
        <f t="shared" si="46"/>
        <v>30979</v>
      </c>
      <c r="T185" s="638">
        <f t="shared" si="59"/>
        <v>30979</v>
      </c>
      <c r="U185" s="351">
        <v>0</v>
      </c>
      <c r="V185" s="80">
        <f t="shared" ref="V185:V210" si="67">+S185/30</f>
        <v>1032.6333333333334</v>
      </c>
      <c r="W185" s="79"/>
      <c r="X185" s="322"/>
      <c r="Y185" s="79"/>
      <c r="Z185" s="322"/>
      <c r="AA185" s="79"/>
      <c r="AB185" s="322"/>
      <c r="AC185" s="79"/>
      <c r="AD185" s="322"/>
      <c r="AE185" s="323">
        <f t="shared" si="48"/>
        <v>0</v>
      </c>
      <c r="AF185" s="638">
        <f t="shared" si="60"/>
        <v>0</v>
      </c>
      <c r="AG185" s="322"/>
      <c r="AH185" s="90">
        <f t="shared" si="49"/>
        <v>0</v>
      </c>
      <c r="AI185" s="80">
        <f t="shared" si="50"/>
        <v>0</v>
      </c>
      <c r="AJ185" s="638">
        <f t="shared" si="61"/>
        <v>0</v>
      </c>
      <c r="AK185" s="322"/>
      <c r="AL185" s="80">
        <f t="shared" si="51"/>
        <v>0</v>
      </c>
      <c r="AM185" s="79"/>
      <c r="AN185" s="322"/>
      <c r="AO185" s="79"/>
      <c r="AP185" s="322"/>
      <c r="AQ185" s="79"/>
      <c r="AR185" s="322"/>
      <c r="AS185" s="79"/>
      <c r="AT185" s="322"/>
      <c r="AU185" s="325">
        <f t="shared" si="52"/>
        <v>0</v>
      </c>
      <c r="AV185" s="90">
        <f t="shared" ref="AV185:AV210" si="68">+AU185/24</f>
        <v>0</v>
      </c>
      <c r="AW185" s="324">
        <f t="shared" si="54"/>
        <v>0</v>
      </c>
      <c r="AX185" s="80">
        <f t="shared" ref="AX185:AX210" si="69">+AW185/24</f>
        <v>0</v>
      </c>
      <c r="AY185" s="326">
        <f t="shared" si="56"/>
        <v>356.4</v>
      </c>
      <c r="AZ185" s="80">
        <f t="shared" si="57"/>
        <v>1032.6333333333334</v>
      </c>
    </row>
    <row r="186" spans="1:52">
      <c r="A186" s="204" t="s">
        <v>175</v>
      </c>
      <c r="B186" s="174" t="s">
        <v>176</v>
      </c>
      <c r="C186" s="175">
        <v>157085</v>
      </c>
      <c r="D186" s="345">
        <v>1</v>
      </c>
      <c r="E186" s="162" t="s">
        <v>442</v>
      </c>
      <c r="F186" s="163" t="s">
        <v>442</v>
      </c>
      <c r="G186" s="79"/>
      <c r="H186" s="322"/>
      <c r="I186" s="79">
        <v>239638</v>
      </c>
      <c r="J186" s="322">
        <v>232649</v>
      </c>
      <c r="K186" s="79">
        <v>23828</v>
      </c>
      <c r="L186" s="322">
        <v>23528</v>
      </c>
      <c r="M186" s="79">
        <v>253163</v>
      </c>
      <c r="N186" s="322">
        <v>258465</v>
      </c>
      <c r="O186" s="323">
        <f t="shared" si="44"/>
        <v>516629</v>
      </c>
      <c r="P186" s="638">
        <f t="shared" si="58"/>
        <v>516629</v>
      </c>
      <c r="Q186" s="322">
        <v>12</v>
      </c>
      <c r="R186" s="90">
        <f t="shared" si="66"/>
        <v>17220.966666666667</v>
      </c>
      <c r="S186" s="324">
        <f t="shared" si="46"/>
        <v>514642</v>
      </c>
      <c r="T186" s="638">
        <f t="shared" si="59"/>
        <v>514642</v>
      </c>
      <c r="U186" s="322">
        <v>71</v>
      </c>
      <c r="V186" s="80">
        <f t="shared" si="67"/>
        <v>17154.733333333334</v>
      </c>
      <c r="W186" s="79"/>
      <c r="X186" s="322"/>
      <c r="Y186" s="79"/>
      <c r="Z186" s="322"/>
      <c r="AA186" s="79"/>
      <c r="AB186" s="322"/>
      <c r="AC186" s="79"/>
      <c r="AD186" s="322"/>
      <c r="AE186" s="323">
        <f t="shared" si="48"/>
        <v>0</v>
      </c>
      <c r="AF186" s="638">
        <f t="shared" si="60"/>
        <v>0</v>
      </c>
      <c r="AG186" s="322"/>
      <c r="AH186" s="90">
        <f t="shared" si="49"/>
        <v>0</v>
      </c>
      <c r="AI186" s="80">
        <f t="shared" si="50"/>
        <v>0</v>
      </c>
      <c r="AJ186" s="638">
        <f t="shared" si="61"/>
        <v>0</v>
      </c>
      <c r="AK186" s="322"/>
      <c r="AL186" s="80">
        <f t="shared" si="51"/>
        <v>0</v>
      </c>
      <c r="AM186" s="79"/>
      <c r="AN186" s="322"/>
      <c r="AO186" s="79">
        <v>36641</v>
      </c>
      <c r="AP186" s="322">
        <v>36015</v>
      </c>
      <c r="AQ186" s="79">
        <v>5913</v>
      </c>
      <c r="AR186" s="322">
        <v>5964</v>
      </c>
      <c r="AS186" s="79">
        <v>39426</v>
      </c>
      <c r="AT186" s="322">
        <v>39054</v>
      </c>
      <c r="AU186" s="325">
        <f t="shared" si="52"/>
        <v>81980</v>
      </c>
      <c r="AV186" s="90">
        <f t="shared" si="68"/>
        <v>3415.8333333333335</v>
      </c>
      <c r="AW186" s="324">
        <f t="shared" si="54"/>
        <v>81033</v>
      </c>
      <c r="AX186" s="80">
        <f t="shared" si="69"/>
        <v>3376.375</v>
      </c>
      <c r="AY186" s="326">
        <f t="shared" si="56"/>
        <v>20636.8</v>
      </c>
      <c r="AZ186" s="80">
        <f t="shared" si="57"/>
        <v>20531.108333333334</v>
      </c>
    </row>
    <row r="187" spans="1:52">
      <c r="A187" s="204" t="s">
        <v>175</v>
      </c>
      <c r="B187" s="379" t="s">
        <v>177</v>
      </c>
      <c r="C187" s="380">
        <v>157289</v>
      </c>
      <c r="D187" s="366">
        <v>1</v>
      </c>
      <c r="E187" s="162" t="s">
        <v>442</v>
      </c>
      <c r="F187" s="163" t="s">
        <v>442</v>
      </c>
      <c r="G187" s="79"/>
      <c r="H187" s="322"/>
      <c r="I187" s="79">
        <v>162643</v>
      </c>
      <c r="J187" s="322">
        <v>169329</v>
      </c>
      <c r="K187" s="79">
        <v>35780</v>
      </c>
      <c r="L187" s="322">
        <v>36471</v>
      </c>
      <c r="M187" s="79">
        <v>179710</v>
      </c>
      <c r="N187" s="322">
        <v>182122</v>
      </c>
      <c r="O187" s="323">
        <f t="shared" si="44"/>
        <v>378133</v>
      </c>
      <c r="P187" s="638">
        <f t="shared" si="58"/>
        <v>378133</v>
      </c>
      <c r="Q187" s="322">
        <v>1195</v>
      </c>
      <c r="R187" s="90">
        <f t="shared" si="66"/>
        <v>12604.433333333332</v>
      </c>
      <c r="S187" s="324">
        <f t="shared" si="46"/>
        <v>387922</v>
      </c>
      <c r="T187" s="638">
        <f t="shared" si="59"/>
        <v>387922</v>
      </c>
      <c r="U187" s="322">
        <v>1019</v>
      </c>
      <c r="V187" s="80">
        <f t="shared" si="67"/>
        <v>12930.733333333334</v>
      </c>
      <c r="W187" s="79"/>
      <c r="X187" s="322"/>
      <c r="Y187" s="79"/>
      <c r="Z187" s="322"/>
      <c r="AA187" s="79"/>
      <c r="AB187" s="322"/>
      <c r="AC187" s="79"/>
      <c r="AD187" s="322"/>
      <c r="AE187" s="323">
        <f t="shared" si="48"/>
        <v>0</v>
      </c>
      <c r="AF187" s="638">
        <f t="shared" si="60"/>
        <v>0</v>
      </c>
      <c r="AG187" s="322"/>
      <c r="AH187" s="90">
        <f t="shared" si="49"/>
        <v>0</v>
      </c>
      <c r="AI187" s="80">
        <f t="shared" si="50"/>
        <v>0</v>
      </c>
      <c r="AJ187" s="638">
        <f t="shared" si="61"/>
        <v>0</v>
      </c>
      <c r="AK187" s="322"/>
      <c r="AL187" s="80">
        <f t="shared" si="51"/>
        <v>0</v>
      </c>
      <c r="AM187" s="79"/>
      <c r="AN187" s="322"/>
      <c r="AO187" s="79">
        <v>32774</v>
      </c>
      <c r="AP187" s="322">
        <v>34045</v>
      </c>
      <c r="AQ187" s="79">
        <v>13155</v>
      </c>
      <c r="AR187" s="322">
        <v>12355</v>
      </c>
      <c r="AS187" s="79">
        <v>34503</v>
      </c>
      <c r="AT187" s="322">
        <v>33313</v>
      </c>
      <c r="AU187" s="325">
        <f t="shared" si="52"/>
        <v>80432</v>
      </c>
      <c r="AV187" s="90">
        <f t="shared" si="68"/>
        <v>3351.3333333333335</v>
      </c>
      <c r="AW187" s="324">
        <f t="shared" si="54"/>
        <v>79713</v>
      </c>
      <c r="AX187" s="80">
        <f t="shared" si="69"/>
        <v>3321.375</v>
      </c>
      <c r="AY187" s="326">
        <f t="shared" si="56"/>
        <v>15955.766666666666</v>
      </c>
      <c r="AZ187" s="80">
        <f t="shared" si="57"/>
        <v>16252.108333333334</v>
      </c>
    </row>
    <row r="188" spans="1:52">
      <c r="A188" s="204" t="s">
        <v>175</v>
      </c>
      <c r="B188" s="174" t="s">
        <v>178</v>
      </c>
      <c r="C188" s="175">
        <v>156620</v>
      </c>
      <c r="D188" s="345">
        <v>3</v>
      </c>
      <c r="E188" s="162" t="s">
        <v>442</v>
      </c>
      <c r="F188" s="163" t="s">
        <v>442</v>
      </c>
      <c r="G188" s="79"/>
      <c r="H188" s="322"/>
      <c r="I188" s="79">
        <v>160222</v>
      </c>
      <c r="J188" s="322">
        <v>162654</v>
      </c>
      <c r="K188" s="79">
        <v>21767</v>
      </c>
      <c r="L188" s="322">
        <v>22404</v>
      </c>
      <c r="M188" s="79">
        <v>176169</v>
      </c>
      <c r="N188" s="322">
        <v>178521</v>
      </c>
      <c r="O188" s="323">
        <f t="shared" si="44"/>
        <v>358158</v>
      </c>
      <c r="P188" s="638">
        <f t="shared" si="58"/>
        <v>358158</v>
      </c>
      <c r="Q188" s="322">
        <v>2396</v>
      </c>
      <c r="R188" s="90">
        <f t="shared" si="66"/>
        <v>11938.6</v>
      </c>
      <c r="S188" s="324">
        <f t="shared" si="46"/>
        <v>363579</v>
      </c>
      <c r="T188" s="638">
        <f t="shared" si="59"/>
        <v>363579</v>
      </c>
      <c r="U188" s="322">
        <v>3251</v>
      </c>
      <c r="V188" s="80">
        <f t="shared" si="67"/>
        <v>12119.3</v>
      </c>
      <c r="W188" s="79"/>
      <c r="X188" s="322"/>
      <c r="Y188" s="79"/>
      <c r="Z188" s="322"/>
      <c r="AA188" s="79"/>
      <c r="AB188" s="322"/>
      <c r="AC188" s="79"/>
      <c r="AD188" s="322"/>
      <c r="AE188" s="323">
        <f t="shared" si="48"/>
        <v>0</v>
      </c>
      <c r="AF188" s="638">
        <f t="shared" si="60"/>
        <v>0</v>
      </c>
      <c r="AG188" s="322"/>
      <c r="AH188" s="90">
        <f t="shared" si="49"/>
        <v>0</v>
      </c>
      <c r="AI188" s="80">
        <f t="shared" si="50"/>
        <v>0</v>
      </c>
      <c r="AJ188" s="638">
        <f t="shared" si="61"/>
        <v>0</v>
      </c>
      <c r="AK188" s="322"/>
      <c r="AL188" s="80">
        <f t="shared" si="51"/>
        <v>0</v>
      </c>
      <c r="AM188" s="79"/>
      <c r="AN188" s="322"/>
      <c r="AO188" s="79">
        <v>13635</v>
      </c>
      <c r="AP188" s="322">
        <v>13926</v>
      </c>
      <c r="AQ188" s="79">
        <v>8927</v>
      </c>
      <c r="AR188" s="322">
        <v>8649</v>
      </c>
      <c r="AS188" s="79">
        <v>14082</v>
      </c>
      <c r="AT188" s="322">
        <v>14221</v>
      </c>
      <c r="AU188" s="325">
        <f t="shared" si="52"/>
        <v>36644</v>
      </c>
      <c r="AV188" s="90">
        <f t="shared" si="68"/>
        <v>1526.8333333333333</v>
      </c>
      <c r="AW188" s="324">
        <f t="shared" si="54"/>
        <v>36796</v>
      </c>
      <c r="AX188" s="80">
        <f t="shared" si="69"/>
        <v>1533.1666666666667</v>
      </c>
      <c r="AY188" s="326">
        <f t="shared" si="56"/>
        <v>13465.433333333334</v>
      </c>
      <c r="AZ188" s="80">
        <f t="shared" si="57"/>
        <v>13652.466666666665</v>
      </c>
    </row>
    <row r="189" spans="1:52">
      <c r="A189" s="204" t="s">
        <v>175</v>
      </c>
      <c r="B189" s="204" t="s">
        <v>179</v>
      </c>
      <c r="C189" s="224">
        <v>157401</v>
      </c>
      <c r="D189" s="190">
        <v>3</v>
      </c>
      <c r="E189" s="162" t="s">
        <v>442</v>
      </c>
      <c r="F189" s="163" t="s">
        <v>442</v>
      </c>
      <c r="G189" s="79"/>
      <c r="H189" s="322"/>
      <c r="I189" s="79">
        <v>104543</v>
      </c>
      <c r="J189" s="322">
        <v>103294</v>
      </c>
      <c r="K189" s="79">
        <v>13310</v>
      </c>
      <c r="L189" s="322">
        <v>12382</v>
      </c>
      <c r="M189" s="79">
        <v>112669</v>
      </c>
      <c r="N189" s="322">
        <v>110391</v>
      </c>
      <c r="O189" s="323">
        <f t="shared" si="44"/>
        <v>230522</v>
      </c>
      <c r="P189" s="638">
        <f t="shared" si="58"/>
        <v>230522</v>
      </c>
      <c r="Q189" s="322">
        <v>1217</v>
      </c>
      <c r="R189" s="90">
        <f t="shared" si="66"/>
        <v>7684.0666666666666</v>
      </c>
      <c r="S189" s="324">
        <f t="shared" si="46"/>
        <v>226067</v>
      </c>
      <c r="T189" s="638">
        <f t="shared" si="59"/>
        <v>226067</v>
      </c>
      <c r="U189" s="322">
        <v>1048</v>
      </c>
      <c r="V189" s="80">
        <f t="shared" si="67"/>
        <v>7535.5666666666666</v>
      </c>
      <c r="W189" s="79"/>
      <c r="X189" s="322"/>
      <c r="Y189" s="79"/>
      <c r="Z189" s="322"/>
      <c r="AA189" s="79"/>
      <c r="AB189" s="322"/>
      <c r="AC189" s="79"/>
      <c r="AD189" s="322"/>
      <c r="AE189" s="323">
        <f t="shared" si="48"/>
        <v>0</v>
      </c>
      <c r="AF189" s="638">
        <f t="shared" si="60"/>
        <v>0</v>
      </c>
      <c r="AG189" s="322"/>
      <c r="AH189" s="90">
        <f t="shared" si="49"/>
        <v>0</v>
      </c>
      <c r="AI189" s="80">
        <f t="shared" si="50"/>
        <v>0</v>
      </c>
      <c r="AJ189" s="638">
        <f t="shared" si="61"/>
        <v>0</v>
      </c>
      <c r="AK189" s="322"/>
      <c r="AL189" s="80">
        <f t="shared" si="51"/>
        <v>0</v>
      </c>
      <c r="AM189" s="79"/>
      <c r="AN189" s="322"/>
      <c r="AO189" s="79">
        <v>10849</v>
      </c>
      <c r="AP189" s="322">
        <v>11468</v>
      </c>
      <c r="AQ189" s="79">
        <v>6053</v>
      </c>
      <c r="AR189" s="322">
        <v>6077</v>
      </c>
      <c r="AS189" s="79">
        <v>11651</v>
      </c>
      <c r="AT189" s="322">
        <v>11765</v>
      </c>
      <c r="AU189" s="325">
        <f t="shared" si="52"/>
        <v>28553</v>
      </c>
      <c r="AV189" s="90">
        <f t="shared" si="68"/>
        <v>1189.7083333333333</v>
      </c>
      <c r="AW189" s="324">
        <f t="shared" si="54"/>
        <v>29310</v>
      </c>
      <c r="AX189" s="80">
        <f t="shared" si="69"/>
        <v>1221.25</v>
      </c>
      <c r="AY189" s="326">
        <f t="shared" si="56"/>
        <v>8873.7749999999996</v>
      </c>
      <c r="AZ189" s="80">
        <f t="shared" si="57"/>
        <v>8756.8166666666657</v>
      </c>
    </row>
    <row r="190" spans="1:52">
      <c r="A190" s="204" t="s">
        <v>175</v>
      </c>
      <c r="B190" s="204" t="s">
        <v>180</v>
      </c>
      <c r="C190" s="224">
        <v>157951</v>
      </c>
      <c r="D190" s="190">
        <v>3</v>
      </c>
      <c r="E190" s="162" t="s">
        <v>442</v>
      </c>
      <c r="F190" s="163" t="s">
        <v>442</v>
      </c>
      <c r="G190" s="79"/>
      <c r="H190" s="322"/>
      <c r="I190" s="79">
        <v>198603</v>
      </c>
      <c r="J190" s="322">
        <v>198343</v>
      </c>
      <c r="K190" s="79">
        <v>22728</v>
      </c>
      <c r="L190" s="322">
        <v>22630</v>
      </c>
      <c r="M190" s="79">
        <v>210810</v>
      </c>
      <c r="N190" s="322">
        <v>215647</v>
      </c>
      <c r="O190" s="323">
        <f t="shared" si="44"/>
        <v>432141</v>
      </c>
      <c r="P190" s="638">
        <f t="shared" si="58"/>
        <v>432141</v>
      </c>
      <c r="Q190" s="322">
        <v>6683</v>
      </c>
      <c r="R190" s="90">
        <f t="shared" si="66"/>
        <v>14404.7</v>
      </c>
      <c r="S190" s="324">
        <f t="shared" si="46"/>
        <v>436620</v>
      </c>
      <c r="T190" s="638">
        <f t="shared" si="59"/>
        <v>436620</v>
      </c>
      <c r="U190" s="322">
        <v>10328</v>
      </c>
      <c r="V190" s="80">
        <f t="shared" si="67"/>
        <v>14554</v>
      </c>
      <c r="W190" s="79"/>
      <c r="X190" s="322"/>
      <c r="Y190" s="79"/>
      <c r="Z190" s="322"/>
      <c r="AA190" s="79"/>
      <c r="AB190" s="322"/>
      <c r="AC190" s="79"/>
      <c r="AD190" s="322"/>
      <c r="AE190" s="323">
        <f t="shared" si="48"/>
        <v>0</v>
      </c>
      <c r="AF190" s="638">
        <f t="shared" si="60"/>
        <v>0</v>
      </c>
      <c r="AG190" s="322"/>
      <c r="AH190" s="90">
        <f t="shared" si="49"/>
        <v>0</v>
      </c>
      <c r="AI190" s="80">
        <f t="shared" si="50"/>
        <v>0</v>
      </c>
      <c r="AJ190" s="638">
        <f t="shared" si="61"/>
        <v>0</v>
      </c>
      <c r="AK190" s="322"/>
      <c r="AL190" s="80">
        <f t="shared" si="51"/>
        <v>0</v>
      </c>
      <c r="AM190" s="79"/>
      <c r="AN190" s="322"/>
      <c r="AO190" s="79">
        <v>16961</v>
      </c>
      <c r="AP190" s="322">
        <v>19330</v>
      </c>
      <c r="AQ190" s="79">
        <v>9807</v>
      </c>
      <c r="AR190" s="322">
        <v>9179</v>
      </c>
      <c r="AS190" s="79">
        <v>19288</v>
      </c>
      <c r="AT190" s="322">
        <v>20270</v>
      </c>
      <c r="AU190" s="325">
        <f t="shared" si="52"/>
        <v>46056</v>
      </c>
      <c r="AV190" s="90">
        <f t="shared" si="68"/>
        <v>1919</v>
      </c>
      <c r="AW190" s="324">
        <f t="shared" si="54"/>
        <v>48779</v>
      </c>
      <c r="AX190" s="80">
        <f t="shared" si="69"/>
        <v>2032.4583333333333</v>
      </c>
      <c r="AY190" s="326">
        <f t="shared" si="56"/>
        <v>16323.7</v>
      </c>
      <c r="AZ190" s="80">
        <f t="shared" si="57"/>
        <v>16586.458333333332</v>
      </c>
    </row>
    <row r="191" spans="1:52">
      <c r="A191" s="204" t="s">
        <v>175</v>
      </c>
      <c r="B191" s="381" t="s">
        <v>181</v>
      </c>
      <c r="C191" s="224">
        <v>157386</v>
      </c>
      <c r="D191" s="190">
        <v>4</v>
      </c>
      <c r="E191" s="162" t="s">
        <v>442</v>
      </c>
      <c r="F191" s="163" t="s">
        <v>442</v>
      </c>
      <c r="G191" s="79"/>
      <c r="H191" s="322"/>
      <c r="I191" s="79">
        <v>86981</v>
      </c>
      <c r="J191" s="322">
        <v>85653</v>
      </c>
      <c r="K191" s="79">
        <v>9932</v>
      </c>
      <c r="L191" s="322">
        <v>10560</v>
      </c>
      <c r="M191" s="79">
        <v>94392</v>
      </c>
      <c r="N191" s="322">
        <v>91603</v>
      </c>
      <c r="O191" s="323">
        <f t="shared" si="44"/>
        <v>191305</v>
      </c>
      <c r="P191" s="638">
        <f t="shared" si="58"/>
        <v>191305</v>
      </c>
      <c r="Q191" s="322">
        <v>2161</v>
      </c>
      <c r="R191" s="90">
        <f t="shared" si="66"/>
        <v>6376.833333333333</v>
      </c>
      <c r="S191" s="324">
        <f t="shared" si="46"/>
        <v>187816</v>
      </c>
      <c r="T191" s="638">
        <f t="shared" si="59"/>
        <v>187816</v>
      </c>
      <c r="U191" s="322">
        <v>2604</v>
      </c>
      <c r="V191" s="80">
        <f t="shared" si="67"/>
        <v>6260.5333333333338</v>
      </c>
      <c r="W191" s="79"/>
      <c r="X191" s="322"/>
      <c r="Y191" s="79"/>
      <c r="Z191" s="322"/>
      <c r="AA191" s="79"/>
      <c r="AB191" s="322"/>
      <c r="AC191" s="79"/>
      <c r="AD191" s="322"/>
      <c r="AE191" s="323">
        <f t="shared" si="48"/>
        <v>0</v>
      </c>
      <c r="AF191" s="638">
        <f t="shared" si="60"/>
        <v>0</v>
      </c>
      <c r="AG191" s="322"/>
      <c r="AH191" s="90">
        <f t="shared" si="49"/>
        <v>0</v>
      </c>
      <c r="AI191" s="80">
        <f t="shared" si="50"/>
        <v>0</v>
      </c>
      <c r="AJ191" s="638">
        <f t="shared" si="61"/>
        <v>0</v>
      </c>
      <c r="AK191" s="322"/>
      <c r="AL191" s="80">
        <f t="shared" si="51"/>
        <v>0</v>
      </c>
      <c r="AM191" s="79"/>
      <c r="AN191" s="322"/>
      <c r="AO191" s="79">
        <v>8749</v>
      </c>
      <c r="AP191" s="322">
        <v>8697</v>
      </c>
      <c r="AQ191" s="79">
        <v>5862</v>
      </c>
      <c r="AR191" s="322">
        <v>5431</v>
      </c>
      <c r="AS191" s="79">
        <v>8276</v>
      </c>
      <c r="AT191" s="322">
        <v>8520</v>
      </c>
      <c r="AU191" s="325">
        <f t="shared" si="52"/>
        <v>22887</v>
      </c>
      <c r="AV191" s="90">
        <f t="shared" si="68"/>
        <v>953.625</v>
      </c>
      <c r="AW191" s="324">
        <f t="shared" si="54"/>
        <v>22648</v>
      </c>
      <c r="AX191" s="80">
        <f t="shared" si="69"/>
        <v>943.66666666666663</v>
      </c>
      <c r="AY191" s="326">
        <f t="shared" si="56"/>
        <v>7330.458333333333</v>
      </c>
      <c r="AZ191" s="80">
        <f t="shared" si="57"/>
        <v>7204.2000000000007</v>
      </c>
    </row>
    <row r="192" spans="1:52">
      <c r="A192" s="204" t="s">
        <v>175</v>
      </c>
      <c r="B192" s="381" t="s">
        <v>182</v>
      </c>
      <c r="C192" s="224">
        <v>157447</v>
      </c>
      <c r="D192" s="190">
        <v>4</v>
      </c>
      <c r="E192" s="162" t="s">
        <v>442</v>
      </c>
      <c r="F192" s="163" t="s">
        <v>442</v>
      </c>
      <c r="G192" s="79"/>
      <c r="H192" s="322"/>
      <c r="I192" s="79">
        <v>139853</v>
      </c>
      <c r="J192" s="322">
        <v>145575</v>
      </c>
      <c r="K192" s="79">
        <v>20336</v>
      </c>
      <c r="L192" s="322">
        <v>20141</v>
      </c>
      <c r="M192" s="79">
        <v>153966</v>
      </c>
      <c r="N192" s="322">
        <v>157920</v>
      </c>
      <c r="O192" s="323">
        <f t="shared" si="44"/>
        <v>314155</v>
      </c>
      <c r="P192" s="638">
        <f t="shared" si="58"/>
        <v>314155</v>
      </c>
      <c r="Q192" s="322">
        <v>2517</v>
      </c>
      <c r="R192" s="90">
        <f t="shared" si="66"/>
        <v>10471.833333333334</v>
      </c>
      <c r="S192" s="324">
        <f t="shared" si="46"/>
        <v>323636</v>
      </c>
      <c r="T192" s="638">
        <f t="shared" si="59"/>
        <v>323636</v>
      </c>
      <c r="U192" s="322">
        <v>3176</v>
      </c>
      <c r="V192" s="80">
        <f t="shared" si="67"/>
        <v>10787.866666666667</v>
      </c>
      <c r="W192" s="79"/>
      <c r="X192" s="322"/>
      <c r="Y192" s="79"/>
      <c r="Z192" s="322"/>
      <c r="AA192" s="79"/>
      <c r="AB192" s="322"/>
      <c r="AC192" s="79"/>
      <c r="AD192" s="322"/>
      <c r="AE192" s="323">
        <f t="shared" si="48"/>
        <v>0</v>
      </c>
      <c r="AF192" s="638">
        <f t="shared" si="60"/>
        <v>0</v>
      </c>
      <c r="AG192" s="322"/>
      <c r="AH192" s="90">
        <f t="shared" si="49"/>
        <v>0</v>
      </c>
      <c r="AI192" s="80">
        <f t="shared" si="50"/>
        <v>0</v>
      </c>
      <c r="AJ192" s="638">
        <f t="shared" si="61"/>
        <v>0</v>
      </c>
      <c r="AK192" s="322"/>
      <c r="AL192" s="80">
        <f t="shared" si="51"/>
        <v>0</v>
      </c>
      <c r="AM192" s="79"/>
      <c r="AN192" s="322"/>
      <c r="AO192" s="79">
        <v>14061</v>
      </c>
      <c r="AP192" s="322">
        <v>15110</v>
      </c>
      <c r="AQ192" s="79">
        <v>7411</v>
      </c>
      <c r="AR192" s="322">
        <v>6903</v>
      </c>
      <c r="AS192" s="79">
        <v>15396</v>
      </c>
      <c r="AT192" s="322">
        <v>15504</v>
      </c>
      <c r="AU192" s="325">
        <f t="shared" si="52"/>
        <v>36868</v>
      </c>
      <c r="AV192" s="90">
        <f t="shared" si="68"/>
        <v>1536.1666666666667</v>
      </c>
      <c r="AW192" s="324">
        <f t="shared" si="54"/>
        <v>37517</v>
      </c>
      <c r="AX192" s="80">
        <f t="shared" si="69"/>
        <v>1563.2083333333333</v>
      </c>
      <c r="AY192" s="326">
        <f t="shared" si="56"/>
        <v>12008</v>
      </c>
      <c r="AZ192" s="80">
        <f t="shared" si="57"/>
        <v>12351.075000000001</v>
      </c>
    </row>
    <row r="193" spans="1:52">
      <c r="A193" s="204" t="s">
        <v>175</v>
      </c>
      <c r="B193" s="381" t="s">
        <v>183</v>
      </c>
      <c r="C193" s="175">
        <v>157058</v>
      </c>
      <c r="D193" s="345">
        <v>5</v>
      </c>
      <c r="E193" s="162" t="s">
        <v>442</v>
      </c>
      <c r="F193" s="163" t="s">
        <v>442</v>
      </c>
      <c r="G193" s="79"/>
      <c r="H193" s="322"/>
      <c r="I193" s="79">
        <v>26031</v>
      </c>
      <c r="J193" s="349">
        <v>27681</v>
      </c>
      <c r="K193" s="79">
        <v>3805</v>
      </c>
      <c r="L193" s="349">
        <v>4092</v>
      </c>
      <c r="M193" s="79">
        <v>31299</v>
      </c>
      <c r="N193" s="349">
        <v>30555</v>
      </c>
      <c r="O193" s="323">
        <f t="shared" si="44"/>
        <v>61135</v>
      </c>
      <c r="P193" s="638">
        <f t="shared" si="58"/>
        <v>61135</v>
      </c>
      <c r="Q193" s="349">
        <v>105</v>
      </c>
      <c r="R193" s="90">
        <f t="shared" si="66"/>
        <v>2037.8333333333333</v>
      </c>
      <c r="S193" s="324">
        <f t="shared" si="46"/>
        <v>62328</v>
      </c>
      <c r="T193" s="638">
        <f t="shared" si="59"/>
        <v>62328</v>
      </c>
      <c r="U193" s="349">
        <v>100</v>
      </c>
      <c r="V193" s="80">
        <f t="shared" si="67"/>
        <v>2077.6</v>
      </c>
      <c r="W193" s="79"/>
      <c r="X193" s="322"/>
      <c r="Y193" s="79"/>
      <c r="Z193" s="322"/>
      <c r="AA193" s="79"/>
      <c r="AB193" s="322"/>
      <c r="AC193" s="79"/>
      <c r="AD193" s="322"/>
      <c r="AE193" s="323">
        <f t="shared" si="48"/>
        <v>0</v>
      </c>
      <c r="AF193" s="638">
        <f t="shared" si="60"/>
        <v>0</v>
      </c>
      <c r="AG193" s="322"/>
      <c r="AH193" s="90">
        <f t="shared" si="49"/>
        <v>0</v>
      </c>
      <c r="AI193" s="80">
        <f t="shared" si="50"/>
        <v>0</v>
      </c>
      <c r="AJ193" s="638">
        <f t="shared" si="61"/>
        <v>0</v>
      </c>
      <c r="AK193" s="322"/>
      <c r="AL193" s="80">
        <f t="shared" si="51"/>
        <v>0</v>
      </c>
      <c r="AM193" s="79"/>
      <c r="AN193" s="322"/>
      <c r="AO193" s="79">
        <v>1235</v>
      </c>
      <c r="AP193" s="322">
        <v>1289</v>
      </c>
      <c r="AQ193" s="79">
        <v>510</v>
      </c>
      <c r="AR193" s="322">
        <v>315</v>
      </c>
      <c r="AS193" s="79">
        <v>1464</v>
      </c>
      <c r="AT193" s="322">
        <v>1062</v>
      </c>
      <c r="AU193" s="325">
        <f t="shared" si="52"/>
        <v>3209</v>
      </c>
      <c r="AV193" s="90">
        <f t="shared" si="68"/>
        <v>133.70833333333334</v>
      </c>
      <c r="AW193" s="324">
        <f t="shared" si="54"/>
        <v>2666</v>
      </c>
      <c r="AX193" s="80">
        <f t="shared" si="69"/>
        <v>111.08333333333333</v>
      </c>
      <c r="AY193" s="326">
        <f t="shared" si="56"/>
        <v>2171.5416666666665</v>
      </c>
      <c r="AZ193" s="80">
        <f t="shared" si="57"/>
        <v>2188.6833333333334</v>
      </c>
    </row>
    <row r="194" spans="1:52">
      <c r="A194" s="174" t="s">
        <v>175</v>
      </c>
      <c r="B194" s="205" t="s">
        <v>184</v>
      </c>
      <c r="C194" s="175">
        <v>157173</v>
      </c>
      <c r="D194" s="345">
        <v>8</v>
      </c>
      <c r="E194" s="162" t="s">
        <v>442</v>
      </c>
      <c r="F194" s="163" t="s">
        <v>442</v>
      </c>
      <c r="G194" s="79"/>
      <c r="H194" s="322"/>
      <c r="I194" s="79">
        <v>95487</v>
      </c>
      <c r="J194" s="349">
        <v>98581</v>
      </c>
      <c r="K194" s="79">
        <v>15779</v>
      </c>
      <c r="L194" s="349">
        <v>19290</v>
      </c>
      <c r="M194" s="79">
        <v>104542</v>
      </c>
      <c r="N194" s="349">
        <v>115233</v>
      </c>
      <c r="O194" s="323">
        <f t="shared" si="44"/>
        <v>215808</v>
      </c>
      <c r="P194" s="638">
        <f t="shared" si="58"/>
        <v>215808</v>
      </c>
      <c r="Q194" s="349">
        <v>4729</v>
      </c>
      <c r="R194" s="90">
        <f t="shared" si="66"/>
        <v>7193.6</v>
      </c>
      <c r="S194" s="324">
        <f t="shared" si="46"/>
        <v>233104</v>
      </c>
      <c r="T194" s="638">
        <f t="shared" si="59"/>
        <v>233104</v>
      </c>
      <c r="U194" s="349">
        <v>5110</v>
      </c>
      <c r="V194" s="80">
        <f t="shared" si="67"/>
        <v>7770.1333333333332</v>
      </c>
      <c r="W194" s="79"/>
      <c r="X194" s="322"/>
      <c r="Y194" s="79"/>
      <c r="Z194" s="322"/>
      <c r="AA194" s="79"/>
      <c r="AB194" s="322"/>
      <c r="AC194" s="79"/>
      <c r="AD194" s="322"/>
      <c r="AE194" s="323">
        <f t="shared" si="48"/>
        <v>0</v>
      </c>
      <c r="AF194" s="638">
        <f t="shared" si="60"/>
        <v>0</v>
      </c>
      <c r="AG194" s="322"/>
      <c r="AH194" s="90">
        <f t="shared" si="49"/>
        <v>0</v>
      </c>
      <c r="AI194" s="80">
        <f t="shared" si="50"/>
        <v>0</v>
      </c>
      <c r="AJ194" s="638">
        <f t="shared" si="61"/>
        <v>0</v>
      </c>
      <c r="AK194" s="322"/>
      <c r="AL194" s="80">
        <f t="shared" si="51"/>
        <v>0</v>
      </c>
      <c r="AM194" s="79"/>
      <c r="AN194" s="322"/>
      <c r="AO194" s="79"/>
      <c r="AP194" s="322"/>
      <c r="AQ194" s="79"/>
      <c r="AR194" s="322"/>
      <c r="AS194" s="79"/>
      <c r="AT194" s="322"/>
      <c r="AU194" s="325">
        <f t="shared" si="52"/>
        <v>0</v>
      </c>
      <c r="AV194" s="90">
        <f t="shared" si="68"/>
        <v>0</v>
      </c>
      <c r="AW194" s="324">
        <f t="shared" si="54"/>
        <v>0</v>
      </c>
      <c r="AX194" s="80">
        <f t="shared" si="69"/>
        <v>0</v>
      </c>
      <c r="AY194" s="326">
        <f t="shared" si="56"/>
        <v>7193.6</v>
      </c>
      <c r="AZ194" s="80">
        <f t="shared" si="57"/>
        <v>7770.1333333333332</v>
      </c>
    </row>
    <row r="195" spans="1:52">
      <c r="A195" s="174" t="s">
        <v>175</v>
      </c>
      <c r="B195" s="205" t="s">
        <v>185</v>
      </c>
      <c r="C195" s="175">
        <v>156921</v>
      </c>
      <c r="D195" s="345">
        <v>8</v>
      </c>
      <c r="E195" s="162" t="s">
        <v>442</v>
      </c>
      <c r="F195" s="163" t="s">
        <v>442</v>
      </c>
      <c r="G195" s="79"/>
      <c r="H195" s="322"/>
      <c r="I195" s="79">
        <v>103157</v>
      </c>
      <c r="J195" s="349">
        <v>106679</v>
      </c>
      <c r="K195" s="79">
        <v>17985</v>
      </c>
      <c r="L195" s="349">
        <v>17461</v>
      </c>
      <c r="M195" s="79">
        <v>119509</v>
      </c>
      <c r="N195" s="349">
        <v>117609</v>
      </c>
      <c r="O195" s="323">
        <f t="shared" si="44"/>
        <v>240651</v>
      </c>
      <c r="P195" s="638">
        <f t="shared" si="58"/>
        <v>240651</v>
      </c>
      <c r="Q195" s="349">
        <v>16648</v>
      </c>
      <c r="R195" s="90">
        <f t="shared" si="66"/>
        <v>8021.7</v>
      </c>
      <c r="S195" s="324">
        <f t="shared" si="46"/>
        <v>241749</v>
      </c>
      <c r="T195" s="638">
        <f t="shared" si="59"/>
        <v>241749</v>
      </c>
      <c r="U195" s="349">
        <v>12888</v>
      </c>
      <c r="V195" s="80">
        <f t="shared" si="67"/>
        <v>8058.3</v>
      </c>
      <c r="W195" s="79"/>
      <c r="X195" s="322"/>
      <c r="Y195" s="79"/>
      <c r="Z195" s="322"/>
      <c r="AA195" s="79"/>
      <c r="AB195" s="322"/>
      <c r="AC195" s="79"/>
      <c r="AD195" s="322"/>
      <c r="AE195" s="323">
        <f t="shared" si="48"/>
        <v>0</v>
      </c>
      <c r="AF195" s="638">
        <f t="shared" si="60"/>
        <v>0</v>
      </c>
      <c r="AG195" s="322"/>
      <c r="AH195" s="90">
        <f t="shared" si="49"/>
        <v>0</v>
      </c>
      <c r="AI195" s="80">
        <f t="shared" si="50"/>
        <v>0</v>
      </c>
      <c r="AJ195" s="638">
        <f t="shared" si="61"/>
        <v>0</v>
      </c>
      <c r="AK195" s="322"/>
      <c r="AL195" s="80">
        <f t="shared" si="51"/>
        <v>0</v>
      </c>
      <c r="AM195" s="79"/>
      <c r="AN195" s="322"/>
      <c r="AO195" s="79"/>
      <c r="AP195" s="322"/>
      <c r="AQ195" s="79"/>
      <c r="AR195" s="322"/>
      <c r="AS195" s="79"/>
      <c r="AT195" s="322"/>
      <c r="AU195" s="325">
        <f t="shared" si="52"/>
        <v>0</v>
      </c>
      <c r="AV195" s="90">
        <f t="shared" si="68"/>
        <v>0</v>
      </c>
      <c r="AW195" s="324">
        <f t="shared" si="54"/>
        <v>0</v>
      </c>
      <c r="AX195" s="80">
        <f t="shared" si="69"/>
        <v>0</v>
      </c>
      <c r="AY195" s="326">
        <f t="shared" si="56"/>
        <v>8021.7</v>
      </c>
      <c r="AZ195" s="80">
        <f t="shared" si="57"/>
        <v>8058.3</v>
      </c>
    </row>
    <row r="196" spans="1:52">
      <c r="A196" s="174" t="s">
        <v>175</v>
      </c>
      <c r="B196" s="205" t="s">
        <v>186</v>
      </c>
      <c r="C196" s="175">
        <v>156231</v>
      </c>
      <c r="D196" s="345">
        <v>9</v>
      </c>
      <c r="E196" s="162" t="s">
        <v>442</v>
      </c>
      <c r="F196" s="163" t="s">
        <v>442</v>
      </c>
      <c r="G196" s="79"/>
      <c r="H196" s="322"/>
      <c r="I196" s="79">
        <v>27827</v>
      </c>
      <c r="J196" s="349">
        <v>26981</v>
      </c>
      <c r="K196" s="79">
        <v>4054</v>
      </c>
      <c r="L196" s="349">
        <v>4008</v>
      </c>
      <c r="M196" s="79">
        <v>32831</v>
      </c>
      <c r="N196" s="349">
        <v>36098</v>
      </c>
      <c r="O196" s="323">
        <f t="shared" ref="O196:O259" si="70">SUM(G196,I196,K196,M196)</f>
        <v>64712</v>
      </c>
      <c r="P196" s="638">
        <f t="shared" si="58"/>
        <v>64712</v>
      </c>
      <c r="Q196" s="349">
        <v>5304</v>
      </c>
      <c r="R196" s="90">
        <f t="shared" si="66"/>
        <v>2157.0666666666666</v>
      </c>
      <c r="S196" s="324">
        <f t="shared" ref="S196:S259" si="71">SUM(H196,J196,L196,N196)</f>
        <v>67087</v>
      </c>
      <c r="T196" s="638">
        <f t="shared" si="59"/>
        <v>67087</v>
      </c>
      <c r="U196" s="349">
        <v>7641</v>
      </c>
      <c r="V196" s="80">
        <f t="shared" si="67"/>
        <v>2236.2333333333331</v>
      </c>
      <c r="W196" s="79"/>
      <c r="X196" s="322"/>
      <c r="Y196" s="79"/>
      <c r="Z196" s="322"/>
      <c r="AA196" s="79"/>
      <c r="AB196" s="322"/>
      <c r="AC196" s="79"/>
      <c r="AD196" s="322"/>
      <c r="AE196" s="323">
        <f t="shared" ref="AE196:AE259" si="72">SUM(W196,Y196,AA196,AC196)</f>
        <v>0</v>
      </c>
      <c r="AF196" s="638">
        <f t="shared" si="60"/>
        <v>0</v>
      </c>
      <c r="AG196" s="322"/>
      <c r="AH196" s="90">
        <f t="shared" ref="AH196:AH259" si="73">+AE196/900</f>
        <v>0</v>
      </c>
      <c r="AI196" s="80">
        <f t="shared" ref="AI196:AI259" si="74">SUM(X196,Z196,AB196,AD196)</f>
        <v>0</v>
      </c>
      <c r="AJ196" s="638">
        <f t="shared" si="61"/>
        <v>0</v>
      </c>
      <c r="AK196" s="322"/>
      <c r="AL196" s="80">
        <f t="shared" ref="AL196:AL259" si="75">+AI196/900</f>
        <v>0</v>
      </c>
      <c r="AM196" s="79"/>
      <c r="AN196" s="322"/>
      <c r="AO196" s="79"/>
      <c r="AP196" s="322"/>
      <c r="AQ196" s="79"/>
      <c r="AR196" s="322"/>
      <c r="AS196" s="79"/>
      <c r="AT196" s="322"/>
      <c r="AU196" s="325">
        <f t="shared" ref="AU196:AU259" si="76">SUM(AM196,AO196,AQ196,AS196)</f>
        <v>0</v>
      </c>
      <c r="AV196" s="90">
        <f t="shared" si="68"/>
        <v>0</v>
      </c>
      <c r="AW196" s="324">
        <f t="shared" ref="AW196:AW259" si="77">SUM(AN196,AP196,AR196,AT196)</f>
        <v>0</v>
      </c>
      <c r="AX196" s="80">
        <f t="shared" si="69"/>
        <v>0</v>
      </c>
      <c r="AY196" s="326">
        <f t="shared" ref="AY196:AY259" si="78">SUM(R196,AH196,AV196)</f>
        <v>2157.0666666666666</v>
      </c>
      <c r="AZ196" s="80">
        <f t="shared" ref="AZ196:AZ259" si="79">SUM(V196,AL196,AX196)</f>
        <v>2236.2333333333331</v>
      </c>
    </row>
    <row r="197" spans="1:52">
      <c r="A197" s="174" t="s">
        <v>175</v>
      </c>
      <c r="B197" s="205" t="s">
        <v>187</v>
      </c>
      <c r="C197" s="224">
        <v>157553</v>
      </c>
      <c r="D197" s="345">
        <v>9</v>
      </c>
      <c r="E197" s="162" t="s">
        <v>442</v>
      </c>
      <c r="F197" s="163" t="s">
        <v>442</v>
      </c>
      <c r="G197" s="79"/>
      <c r="H197" s="322"/>
      <c r="I197" s="79">
        <v>31313</v>
      </c>
      <c r="J197" s="349">
        <v>33501</v>
      </c>
      <c r="K197" s="79">
        <v>5456</v>
      </c>
      <c r="L197" s="349">
        <v>5409</v>
      </c>
      <c r="M197" s="79">
        <v>39062</v>
      </c>
      <c r="N197" s="349">
        <v>35901</v>
      </c>
      <c r="O197" s="323">
        <f t="shared" si="70"/>
        <v>75831</v>
      </c>
      <c r="P197" s="638">
        <f t="shared" ref="P197:P260" si="80">IF(Q197="—",0,O197)</f>
        <v>75831</v>
      </c>
      <c r="Q197" s="349">
        <v>5710</v>
      </c>
      <c r="R197" s="90">
        <f t="shared" si="66"/>
        <v>2527.6999999999998</v>
      </c>
      <c r="S197" s="324">
        <f t="shared" si="71"/>
        <v>74811</v>
      </c>
      <c r="T197" s="638">
        <f t="shared" ref="T197:T260" si="81">IF(U197="—",0,S197)</f>
        <v>74811</v>
      </c>
      <c r="U197" s="349">
        <v>2277</v>
      </c>
      <c r="V197" s="80">
        <f t="shared" si="67"/>
        <v>2493.6999999999998</v>
      </c>
      <c r="W197" s="79"/>
      <c r="X197" s="322"/>
      <c r="Y197" s="79"/>
      <c r="Z197" s="322"/>
      <c r="AA197" s="79"/>
      <c r="AB197" s="322"/>
      <c r="AC197" s="79"/>
      <c r="AD197" s="322"/>
      <c r="AE197" s="323">
        <f t="shared" si="72"/>
        <v>0</v>
      </c>
      <c r="AF197" s="638">
        <f t="shared" ref="AF197:AF260" si="82">IF(AG197="—",0,AE197)</f>
        <v>0</v>
      </c>
      <c r="AG197" s="322"/>
      <c r="AH197" s="90">
        <f t="shared" si="73"/>
        <v>0</v>
      </c>
      <c r="AI197" s="80">
        <f t="shared" si="74"/>
        <v>0</v>
      </c>
      <c r="AJ197" s="638">
        <f t="shared" ref="AJ197:AJ260" si="83">IF(AK197="—",0,AI197)</f>
        <v>0</v>
      </c>
      <c r="AK197" s="322"/>
      <c r="AL197" s="80">
        <f t="shared" si="75"/>
        <v>0</v>
      </c>
      <c r="AM197" s="79"/>
      <c r="AN197" s="322"/>
      <c r="AO197" s="79"/>
      <c r="AP197" s="322"/>
      <c r="AQ197" s="79"/>
      <c r="AR197" s="322"/>
      <c r="AS197" s="79"/>
      <c r="AT197" s="322"/>
      <c r="AU197" s="325">
        <f t="shared" si="76"/>
        <v>0</v>
      </c>
      <c r="AV197" s="90">
        <f t="shared" si="68"/>
        <v>0</v>
      </c>
      <c r="AW197" s="324">
        <f t="shared" si="77"/>
        <v>0</v>
      </c>
      <c r="AX197" s="80">
        <f t="shared" si="69"/>
        <v>0</v>
      </c>
      <c r="AY197" s="326">
        <f t="shared" si="78"/>
        <v>2527.6999999999998</v>
      </c>
      <c r="AZ197" s="80">
        <f t="shared" si="79"/>
        <v>2493.6999999999998</v>
      </c>
    </row>
    <row r="198" spans="1:52">
      <c r="A198" s="174" t="s">
        <v>175</v>
      </c>
      <c r="B198" s="205" t="s">
        <v>188</v>
      </c>
      <c r="C198" s="224">
        <v>156648</v>
      </c>
      <c r="D198" s="345">
        <v>9</v>
      </c>
      <c r="E198" s="162" t="s">
        <v>442</v>
      </c>
      <c r="F198" s="163" t="s">
        <v>442</v>
      </c>
      <c r="G198" s="79"/>
      <c r="H198" s="322"/>
      <c r="I198" s="79">
        <v>38713</v>
      </c>
      <c r="J198" s="349">
        <v>40917</v>
      </c>
      <c r="K198" s="79">
        <v>6061</v>
      </c>
      <c r="L198" s="349">
        <v>6680</v>
      </c>
      <c r="M198" s="79">
        <v>43458</v>
      </c>
      <c r="N198" s="349">
        <v>46417</v>
      </c>
      <c r="O198" s="323">
        <f t="shared" si="70"/>
        <v>88232</v>
      </c>
      <c r="P198" s="638">
        <f t="shared" si="80"/>
        <v>88232</v>
      </c>
      <c r="Q198" s="349">
        <v>1278</v>
      </c>
      <c r="R198" s="90">
        <f t="shared" si="66"/>
        <v>2941.0666666666666</v>
      </c>
      <c r="S198" s="324">
        <f t="shared" si="71"/>
        <v>94014</v>
      </c>
      <c r="T198" s="638">
        <f t="shared" si="81"/>
        <v>94014</v>
      </c>
      <c r="U198" s="349">
        <v>1449</v>
      </c>
      <c r="V198" s="80">
        <f t="shared" si="67"/>
        <v>3133.8</v>
      </c>
      <c r="W198" s="79"/>
      <c r="X198" s="322"/>
      <c r="Y198" s="79"/>
      <c r="Z198" s="322"/>
      <c r="AA198" s="79"/>
      <c r="AB198" s="322"/>
      <c r="AC198" s="79"/>
      <c r="AD198" s="322"/>
      <c r="AE198" s="323">
        <f t="shared" si="72"/>
        <v>0</v>
      </c>
      <c r="AF198" s="638">
        <f t="shared" si="82"/>
        <v>0</v>
      </c>
      <c r="AG198" s="322"/>
      <c r="AH198" s="90">
        <f t="shared" si="73"/>
        <v>0</v>
      </c>
      <c r="AI198" s="80">
        <f t="shared" si="74"/>
        <v>0</v>
      </c>
      <c r="AJ198" s="638">
        <f t="shared" si="83"/>
        <v>0</v>
      </c>
      <c r="AK198" s="322"/>
      <c r="AL198" s="80">
        <f t="shared" si="75"/>
        <v>0</v>
      </c>
      <c r="AM198" s="79"/>
      <c r="AN198" s="322"/>
      <c r="AO198" s="79"/>
      <c r="AP198" s="322"/>
      <c r="AQ198" s="79"/>
      <c r="AR198" s="322"/>
      <c r="AS198" s="79"/>
      <c r="AT198" s="322"/>
      <c r="AU198" s="325">
        <f t="shared" si="76"/>
        <v>0</v>
      </c>
      <c r="AV198" s="90">
        <f t="shared" si="68"/>
        <v>0</v>
      </c>
      <c r="AW198" s="324">
        <f t="shared" si="77"/>
        <v>0</v>
      </c>
      <c r="AX198" s="80">
        <f t="shared" si="69"/>
        <v>0</v>
      </c>
      <c r="AY198" s="326">
        <f t="shared" si="78"/>
        <v>2941.0666666666666</v>
      </c>
      <c r="AZ198" s="80">
        <f t="shared" si="79"/>
        <v>3133.8</v>
      </c>
    </row>
    <row r="199" spans="1:52">
      <c r="A199" s="204" t="s">
        <v>175</v>
      </c>
      <c r="B199" s="204" t="s">
        <v>190</v>
      </c>
      <c r="C199" s="224">
        <v>157304</v>
      </c>
      <c r="D199" s="193">
        <v>9</v>
      </c>
      <c r="E199" s="162" t="s">
        <v>442</v>
      </c>
      <c r="F199" s="163" t="s">
        <v>442</v>
      </c>
      <c r="G199" s="79"/>
      <c r="H199" s="322"/>
      <c r="I199" s="79">
        <v>26414</v>
      </c>
      <c r="J199" s="349">
        <v>29463</v>
      </c>
      <c r="K199" s="79">
        <v>3095</v>
      </c>
      <c r="L199" s="349">
        <v>3902</v>
      </c>
      <c r="M199" s="79">
        <v>31307</v>
      </c>
      <c r="N199" s="349">
        <v>30484</v>
      </c>
      <c r="O199" s="323">
        <f t="shared" si="70"/>
        <v>60816</v>
      </c>
      <c r="P199" s="638">
        <f t="shared" si="80"/>
        <v>60816</v>
      </c>
      <c r="Q199" s="349">
        <v>4772</v>
      </c>
      <c r="R199" s="90">
        <f t="shared" si="66"/>
        <v>2027.2</v>
      </c>
      <c r="S199" s="324">
        <f t="shared" si="71"/>
        <v>63849</v>
      </c>
      <c r="T199" s="638">
        <f t="shared" si="81"/>
        <v>63849</v>
      </c>
      <c r="U199" s="349">
        <v>5489</v>
      </c>
      <c r="V199" s="80">
        <f t="shared" si="67"/>
        <v>2128.3000000000002</v>
      </c>
      <c r="W199" s="79"/>
      <c r="X199" s="322"/>
      <c r="Y199" s="79"/>
      <c r="Z199" s="322"/>
      <c r="AA199" s="79"/>
      <c r="AB199" s="322"/>
      <c r="AC199" s="79"/>
      <c r="AD199" s="322"/>
      <c r="AE199" s="323">
        <f t="shared" si="72"/>
        <v>0</v>
      </c>
      <c r="AF199" s="638">
        <f t="shared" si="82"/>
        <v>0</v>
      </c>
      <c r="AG199" s="322"/>
      <c r="AH199" s="90">
        <f t="shared" si="73"/>
        <v>0</v>
      </c>
      <c r="AI199" s="80">
        <f t="shared" si="74"/>
        <v>0</v>
      </c>
      <c r="AJ199" s="638">
        <f t="shared" si="83"/>
        <v>0</v>
      </c>
      <c r="AK199" s="322"/>
      <c r="AL199" s="80">
        <f t="shared" si="75"/>
        <v>0</v>
      </c>
      <c r="AM199" s="79"/>
      <c r="AN199" s="322"/>
      <c r="AO199" s="79"/>
      <c r="AP199" s="322"/>
      <c r="AQ199" s="79"/>
      <c r="AR199" s="322"/>
      <c r="AS199" s="79"/>
      <c r="AT199" s="322"/>
      <c r="AU199" s="325">
        <f t="shared" si="76"/>
        <v>0</v>
      </c>
      <c r="AV199" s="90">
        <f t="shared" si="68"/>
        <v>0</v>
      </c>
      <c r="AW199" s="324">
        <f t="shared" si="77"/>
        <v>0</v>
      </c>
      <c r="AX199" s="80">
        <f t="shared" si="69"/>
        <v>0</v>
      </c>
      <c r="AY199" s="326">
        <f t="shared" si="78"/>
        <v>2027.2</v>
      </c>
      <c r="AZ199" s="80">
        <f t="shared" si="79"/>
        <v>2128.3000000000002</v>
      </c>
    </row>
    <row r="200" spans="1:52">
      <c r="A200" s="204" t="s">
        <v>175</v>
      </c>
      <c r="B200" s="382" t="s">
        <v>197</v>
      </c>
      <c r="C200" s="383">
        <v>157331</v>
      </c>
      <c r="D200" s="408">
        <v>9</v>
      </c>
      <c r="E200" s="162" t="s">
        <v>442</v>
      </c>
      <c r="F200" s="163" t="s">
        <v>442</v>
      </c>
      <c r="G200" s="79"/>
      <c r="H200" s="322"/>
      <c r="I200" s="79">
        <v>30314</v>
      </c>
      <c r="J200" s="349">
        <v>32975</v>
      </c>
      <c r="K200" s="79">
        <v>7208</v>
      </c>
      <c r="L200" s="349">
        <v>6941</v>
      </c>
      <c r="M200" s="79">
        <v>31711</v>
      </c>
      <c r="N200" s="349">
        <v>34502</v>
      </c>
      <c r="O200" s="323">
        <f t="shared" si="70"/>
        <v>69233</v>
      </c>
      <c r="P200" s="638">
        <f t="shared" si="80"/>
        <v>69233</v>
      </c>
      <c r="Q200" s="349">
        <v>7505</v>
      </c>
      <c r="R200" s="90">
        <f t="shared" si="66"/>
        <v>2307.7666666666669</v>
      </c>
      <c r="S200" s="324">
        <f t="shared" si="71"/>
        <v>74418</v>
      </c>
      <c r="T200" s="638">
        <f t="shared" si="81"/>
        <v>74418</v>
      </c>
      <c r="U200" s="349">
        <v>7188</v>
      </c>
      <c r="V200" s="80">
        <f t="shared" si="67"/>
        <v>2480.6</v>
      </c>
      <c r="W200" s="79"/>
      <c r="X200" s="322"/>
      <c r="Y200" s="79"/>
      <c r="Z200" s="322"/>
      <c r="AA200" s="79"/>
      <c r="AB200" s="322"/>
      <c r="AC200" s="79"/>
      <c r="AD200" s="322"/>
      <c r="AE200" s="323">
        <f t="shared" si="72"/>
        <v>0</v>
      </c>
      <c r="AF200" s="638">
        <f t="shared" si="82"/>
        <v>0</v>
      </c>
      <c r="AG200" s="322"/>
      <c r="AH200" s="90">
        <f t="shared" si="73"/>
        <v>0</v>
      </c>
      <c r="AI200" s="80">
        <f t="shared" si="74"/>
        <v>0</v>
      </c>
      <c r="AJ200" s="638">
        <f t="shared" si="83"/>
        <v>0</v>
      </c>
      <c r="AK200" s="322"/>
      <c r="AL200" s="80">
        <f t="shared" si="75"/>
        <v>0</v>
      </c>
      <c r="AM200" s="79"/>
      <c r="AN200" s="322"/>
      <c r="AO200" s="79"/>
      <c r="AP200" s="322"/>
      <c r="AQ200" s="79"/>
      <c r="AR200" s="322"/>
      <c r="AS200" s="79"/>
      <c r="AT200" s="322"/>
      <c r="AU200" s="325">
        <f t="shared" si="76"/>
        <v>0</v>
      </c>
      <c r="AV200" s="90">
        <f t="shared" si="68"/>
        <v>0</v>
      </c>
      <c r="AW200" s="324">
        <f t="shared" si="77"/>
        <v>0</v>
      </c>
      <c r="AX200" s="80">
        <f t="shared" si="69"/>
        <v>0</v>
      </c>
      <c r="AY200" s="326">
        <f t="shared" si="78"/>
        <v>2307.7666666666669</v>
      </c>
      <c r="AZ200" s="80">
        <f t="shared" si="79"/>
        <v>2480.6</v>
      </c>
    </row>
    <row r="201" spans="1:52">
      <c r="A201" s="204" t="s">
        <v>175</v>
      </c>
      <c r="B201" s="204" t="s">
        <v>191</v>
      </c>
      <c r="C201" s="224">
        <v>247940</v>
      </c>
      <c r="D201" s="190">
        <v>9</v>
      </c>
      <c r="E201" s="162" t="s">
        <v>442</v>
      </c>
      <c r="F201" s="163" t="s">
        <v>442</v>
      </c>
      <c r="G201" s="79"/>
      <c r="H201" s="322"/>
      <c r="I201" s="79">
        <v>31312</v>
      </c>
      <c r="J201" s="349">
        <v>34567</v>
      </c>
      <c r="K201" s="79">
        <v>3856</v>
      </c>
      <c r="L201" s="349">
        <v>3898</v>
      </c>
      <c r="M201" s="79">
        <v>39011</v>
      </c>
      <c r="N201" s="349">
        <v>41187</v>
      </c>
      <c r="O201" s="323">
        <f t="shared" si="70"/>
        <v>74179</v>
      </c>
      <c r="P201" s="638">
        <f t="shared" si="80"/>
        <v>74179</v>
      </c>
      <c r="Q201" s="349">
        <v>12582</v>
      </c>
      <c r="R201" s="90">
        <f t="shared" si="66"/>
        <v>2472.6333333333332</v>
      </c>
      <c r="S201" s="324">
        <f t="shared" si="71"/>
        <v>79652</v>
      </c>
      <c r="T201" s="638">
        <f t="shared" si="81"/>
        <v>79652</v>
      </c>
      <c r="U201" s="349">
        <v>15207</v>
      </c>
      <c r="V201" s="80">
        <f t="shared" si="67"/>
        <v>2655.0666666666666</v>
      </c>
      <c r="W201" s="79"/>
      <c r="X201" s="322"/>
      <c r="Y201" s="79"/>
      <c r="Z201" s="322"/>
      <c r="AA201" s="79"/>
      <c r="AB201" s="322"/>
      <c r="AC201" s="79"/>
      <c r="AD201" s="322"/>
      <c r="AE201" s="323">
        <f t="shared" si="72"/>
        <v>0</v>
      </c>
      <c r="AF201" s="638">
        <f t="shared" si="82"/>
        <v>0</v>
      </c>
      <c r="AG201" s="322"/>
      <c r="AH201" s="90">
        <f t="shared" si="73"/>
        <v>0</v>
      </c>
      <c r="AI201" s="80">
        <f t="shared" si="74"/>
        <v>0</v>
      </c>
      <c r="AJ201" s="638">
        <f t="shared" si="83"/>
        <v>0</v>
      </c>
      <c r="AK201" s="322"/>
      <c r="AL201" s="80">
        <f t="shared" si="75"/>
        <v>0</v>
      </c>
      <c r="AM201" s="79"/>
      <c r="AN201" s="322"/>
      <c r="AO201" s="79"/>
      <c r="AP201" s="322"/>
      <c r="AQ201" s="79"/>
      <c r="AR201" s="322"/>
      <c r="AS201" s="79"/>
      <c r="AT201" s="322"/>
      <c r="AU201" s="325">
        <f t="shared" si="76"/>
        <v>0</v>
      </c>
      <c r="AV201" s="90">
        <f t="shared" si="68"/>
        <v>0</v>
      </c>
      <c r="AW201" s="324">
        <f t="shared" si="77"/>
        <v>0</v>
      </c>
      <c r="AX201" s="80">
        <f t="shared" si="69"/>
        <v>0</v>
      </c>
      <c r="AY201" s="326">
        <f t="shared" si="78"/>
        <v>2472.6333333333332</v>
      </c>
      <c r="AZ201" s="80">
        <f t="shared" si="79"/>
        <v>2655.0666666666666</v>
      </c>
    </row>
    <row r="202" spans="1:52">
      <c r="A202" s="204" t="s">
        <v>175</v>
      </c>
      <c r="B202" s="204" t="s">
        <v>192</v>
      </c>
      <c r="C202" s="224">
        <v>157711</v>
      </c>
      <c r="D202" s="190">
        <v>9</v>
      </c>
      <c r="E202" s="162" t="s">
        <v>442</v>
      </c>
      <c r="F202" s="163" t="s">
        <v>442</v>
      </c>
      <c r="G202" s="79"/>
      <c r="H202" s="322"/>
      <c r="I202" s="79">
        <v>49692</v>
      </c>
      <c r="J202" s="349">
        <v>51932</v>
      </c>
      <c r="K202" s="79">
        <v>7471</v>
      </c>
      <c r="L202" s="349">
        <v>6205</v>
      </c>
      <c r="M202" s="79">
        <v>56675</v>
      </c>
      <c r="N202" s="349">
        <v>51934</v>
      </c>
      <c r="O202" s="323">
        <f t="shared" si="70"/>
        <v>113838</v>
      </c>
      <c r="P202" s="638">
        <f t="shared" si="80"/>
        <v>113838</v>
      </c>
      <c r="Q202" s="349">
        <v>7024</v>
      </c>
      <c r="R202" s="90">
        <f t="shared" si="66"/>
        <v>3794.6</v>
      </c>
      <c r="S202" s="324">
        <f t="shared" si="71"/>
        <v>110071</v>
      </c>
      <c r="T202" s="638">
        <f t="shared" si="81"/>
        <v>110071</v>
      </c>
      <c r="U202" s="349">
        <v>6638</v>
      </c>
      <c r="V202" s="80">
        <f t="shared" si="67"/>
        <v>3669.0333333333333</v>
      </c>
      <c r="W202" s="79"/>
      <c r="X202" s="322"/>
      <c r="Y202" s="79"/>
      <c r="Z202" s="322"/>
      <c r="AA202" s="79"/>
      <c r="AB202" s="322"/>
      <c r="AC202" s="79"/>
      <c r="AD202" s="322"/>
      <c r="AE202" s="323">
        <f t="shared" si="72"/>
        <v>0</v>
      </c>
      <c r="AF202" s="638">
        <f t="shared" si="82"/>
        <v>0</v>
      </c>
      <c r="AG202" s="322"/>
      <c r="AH202" s="90">
        <f t="shared" si="73"/>
        <v>0</v>
      </c>
      <c r="AI202" s="80">
        <f t="shared" si="74"/>
        <v>0</v>
      </c>
      <c r="AJ202" s="638">
        <f t="shared" si="83"/>
        <v>0</v>
      </c>
      <c r="AK202" s="322"/>
      <c r="AL202" s="80">
        <f t="shared" si="75"/>
        <v>0</v>
      </c>
      <c r="AM202" s="79"/>
      <c r="AN202" s="322"/>
      <c r="AO202" s="79"/>
      <c r="AP202" s="322"/>
      <c r="AQ202" s="79"/>
      <c r="AR202" s="322"/>
      <c r="AS202" s="79"/>
      <c r="AT202" s="322"/>
      <c r="AU202" s="325">
        <f t="shared" si="76"/>
        <v>0</v>
      </c>
      <c r="AV202" s="90">
        <f t="shared" si="68"/>
        <v>0</v>
      </c>
      <c r="AW202" s="324">
        <f t="shared" si="77"/>
        <v>0</v>
      </c>
      <c r="AX202" s="80">
        <f t="shared" si="69"/>
        <v>0</v>
      </c>
      <c r="AY202" s="326">
        <f t="shared" si="78"/>
        <v>3794.6</v>
      </c>
      <c r="AZ202" s="80">
        <f t="shared" si="79"/>
        <v>3669.0333333333333</v>
      </c>
    </row>
    <row r="203" spans="1:52">
      <c r="A203" s="204" t="s">
        <v>175</v>
      </c>
      <c r="B203" s="204" t="s">
        <v>193</v>
      </c>
      <c r="C203" s="224">
        <v>157739</v>
      </c>
      <c r="D203" s="190">
        <v>9</v>
      </c>
      <c r="E203" s="162" t="s">
        <v>442</v>
      </c>
      <c r="F203" s="163" t="s">
        <v>442</v>
      </c>
      <c r="G203" s="79"/>
      <c r="H203" s="322"/>
      <c r="I203" s="79">
        <v>27422</v>
      </c>
      <c r="J203" s="349">
        <v>28171</v>
      </c>
      <c r="K203" s="79">
        <v>3285</v>
      </c>
      <c r="L203" s="349">
        <v>3205</v>
      </c>
      <c r="M203" s="79">
        <v>30930</v>
      </c>
      <c r="N203" s="349">
        <v>30423</v>
      </c>
      <c r="O203" s="323">
        <f t="shared" si="70"/>
        <v>61637</v>
      </c>
      <c r="P203" s="638">
        <f t="shared" si="80"/>
        <v>61637</v>
      </c>
      <c r="Q203" s="349">
        <v>7299</v>
      </c>
      <c r="R203" s="90">
        <f t="shared" si="66"/>
        <v>2054.5666666666666</v>
      </c>
      <c r="S203" s="324">
        <f t="shared" si="71"/>
        <v>61799</v>
      </c>
      <c r="T203" s="638">
        <f t="shared" si="81"/>
        <v>61799</v>
      </c>
      <c r="U203" s="349">
        <v>6135</v>
      </c>
      <c r="V203" s="80">
        <f t="shared" si="67"/>
        <v>2059.9666666666667</v>
      </c>
      <c r="W203" s="79"/>
      <c r="X203" s="322"/>
      <c r="Y203" s="79"/>
      <c r="Z203" s="322"/>
      <c r="AA203" s="79"/>
      <c r="AB203" s="322"/>
      <c r="AC203" s="79"/>
      <c r="AD203" s="322"/>
      <c r="AE203" s="323">
        <f t="shared" si="72"/>
        <v>0</v>
      </c>
      <c r="AF203" s="638">
        <f t="shared" si="82"/>
        <v>0</v>
      </c>
      <c r="AG203" s="322"/>
      <c r="AH203" s="90">
        <f t="shared" si="73"/>
        <v>0</v>
      </c>
      <c r="AI203" s="80">
        <f t="shared" si="74"/>
        <v>0</v>
      </c>
      <c r="AJ203" s="638">
        <f t="shared" si="83"/>
        <v>0</v>
      </c>
      <c r="AK203" s="322"/>
      <c r="AL203" s="80">
        <f t="shared" si="75"/>
        <v>0</v>
      </c>
      <c r="AM203" s="79"/>
      <c r="AN203" s="322"/>
      <c r="AO203" s="79"/>
      <c r="AP203" s="322"/>
      <c r="AQ203" s="79"/>
      <c r="AR203" s="322"/>
      <c r="AS203" s="79"/>
      <c r="AT203" s="322"/>
      <c r="AU203" s="325">
        <f t="shared" si="76"/>
        <v>0</v>
      </c>
      <c r="AV203" s="90">
        <f t="shared" si="68"/>
        <v>0</v>
      </c>
      <c r="AW203" s="324">
        <f t="shared" si="77"/>
        <v>0</v>
      </c>
      <c r="AX203" s="80">
        <f t="shared" si="69"/>
        <v>0</v>
      </c>
      <c r="AY203" s="326">
        <f t="shared" si="78"/>
        <v>2054.5666666666666</v>
      </c>
      <c r="AZ203" s="80">
        <f t="shared" si="79"/>
        <v>2059.9666666666667</v>
      </c>
    </row>
    <row r="204" spans="1:52">
      <c r="A204" s="204" t="s">
        <v>175</v>
      </c>
      <c r="B204" s="204" t="s">
        <v>194</v>
      </c>
      <c r="C204" s="224">
        <v>157483</v>
      </c>
      <c r="D204" s="190">
        <v>9</v>
      </c>
      <c r="E204" s="162" t="s">
        <v>442</v>
      </c>
      <c r="F204" s="163" t="s">
        <v>442</v>
      </c>
      <c r="G204" s="79"/>
      <c r="H204" s="322"/>
      <c r="I204" s="79">
        <v>39783</v>
      </c>
      <c r="J204" s="349">
        <v>40638</v>
      </c>
      <c r="K204" s="79">
        <v>6615</v>
      </c>
      <c r="L204" s="349">
        <v>7557</v>
      </c>
      <c r="M204" s="79">
        <v>46438</v>
      </c>
      <c r="N204" s="349">
        <v>47785</v>
      </c>
      <c r="O204" s="323">
        <f t="shared" si="70"/>
        <v>92836</v>
      </c>
      <c r="P204" s="638">
        <f t="shared" si="80"/>
        <v>92836</v>
      </c>
      <c r="Q204" s="349">
        <v>6872</v>
      </c>
      <c r="R204" s="90">
        <f t="shared" si="66"/>
        <v>3094.5333333333333</v>
      </c>
      <c r="S204" s="324">
        <f t="shared" si="71"/>
        <v>95980</v>
      </c>
      <c r="T204" s="638">
        <f t="shared" si="81"/>
        <v>95980</v>
      </c>
      <c r="U204" s="349">
        <v>7360</v>
      </c>
      <c r="V204" s="80">
        <f t="shared" si="67"/>
        <v>3199.3333333333335</v>
      </c>
      <c r="W204" s="79"/>
      <c r="X204" s="322"/>
      <c r="Y204" s="79"/>
      <c r="Z204" s="322"/>
      <c r="AA204" s="79"/>
      <c r="AB204" s="322"/>
      <c r="AC204" s="79"/>
      <c r="AD204" s="322"/>
      <c r="AE204" s="323">
        <f t="shared" si="72"/>
        <v>0</v>
      </c>
      <c r="AF204" s="638">
        <f t="shared" si="82"/>
        <v>0</v>
      </c>
      <c r="AG204" s="322"/>
      <c r="AH204" s="90">
        <f t="shared" si="73"/>
        <v>0</v>
      </c>
      <c r="AI204" s="80">
        <f t="shared" si="74"/>
        <v>0</v>
      </c>
      <c r="AJ204" s="638">
        <f t="shared" si="83"/>
        <v>0</v>
      </c>
      <c r="AK204" s="322"/>
      <c r="AL204" s="80">
        <f t="shared" si="75"/>
        <v>0</v>
      </c>
      <c r="AM204" s="79"/>
      <c r="AN204" s="322"/>
      <c r="AO204" s="79"/>
      <c r="AP204" s="322"/>
      <c r="AQ204" s="79"/>
      <c r="AR204" s="322"/>
      <c r="AS204" s="79"/>
      <c r="AT204" s="322"/>
      <c r="AU204" s="325">
        <f t="shared" si="76"/>
        <v>0</v>
      </c>
      <c r="AV204" s="90">
        <f t="shared" si="68"/>
        <v>0</v>
      </c>
      <c r="AW204" s="324">
        <f t="shared" si="77"/>
        <v>0</v>
      </c>
      <c r="AX204" s="80">
        <f t="shared" si="69"/>
        <v>0</v>
      </c>
      <c r="AY204" s="326">
        <f t="shared" si="78"/>
        <v>3094.5333333333333</v>
      </c>
      <c r="AZ204" s="80">
        <f t="shared" si="79"/>
        <v>3199.3333333333335</v>
      </c>
    </row>
    <row r="205" spans="1:52">
      <c r="A205" s="204" t="s">
        <v>175</v>
      </c>
      <c r="B205" s="382" t="s">
        <v>189</v>
      </c>
      <c r="C205" s="383">
        <v>156790</v>
      </c>
      <c r="D205" s="408">
        <v>10</v>
      </c>
      <c r="E205" s="162" t="s">
        <v>442</v>
      </c>
      <c r="F205" s="163" t="s">
        <v>442</v>
      </c>
      <c r="G205" s="79"/>
      <c r="H205" s="322"/>
      <c r="I205" s="79">
        <v>25347</v>
      </c>
      <c r="J205" s="349">
        <v>24961</v>
      </c>
      <c r="K205" s="79">
        <v>2435</v>
      </c>
      <c r="L205" s="349">
        <v>3177</v>
      </c>
      <c r="M205" s="79">
        <v>30320</v>
      </c>
      <c r="N205" s="349">
        <v>27640</v>
      </c>
      <c r="O205" s="323">
        <f t="shared" si="70"/>
        <v>58102</v>
      </c>
      <c r="P205" s="638">
        <f t="shared" si="80"/>
        <v>58102</v>
      </c>
      <c r="Q205" s="349">
        <v>3942</v>
      </c>
      <c r="R205" s="90">
        <f t="shared" si="66"/>
        <v>1936.7333333333333</v>
      </c>
      <c r="S205" s="324">
        <f t="shared" si="71"/>
        <v>55778</v>
      </c>
      <c r="T205" s="638">
        <f t="shared" si="81"/>
        <v>55778</v>
      </c>
      <c r="U205" s="349">
        <v>4154</v>
      </c>
      <c r="V205" s="80">
        <f t="shared" si="67"/>
        <v>1859.2666666666667</v>
      </c>
      <c r="W205" s="79"/>
      <c r="X205" s="322"/>
      <c r="Y205" s="79"/>
      <c r="Z205" s="322"/>
      <c r="AA205" s="79"/>
      <c r="AB205" s="322"/>
      <c r="AC205" s="79"/>
      <c r="AD205" s="322"/>
      <c r="AE205" s="323">
        <f t="shared" si="72"/>
        <v>0</v>
      </c>
      <c r="AF205" s="638">
        <f t="shared" si="82"/>
        <v>0</v>
      </c>
      <c r="AG205" s="322"/>
      <c r="AH205" s="90">
        <f t="shared" si="73"/>
        <v>0</v>
      </c>
      <c r="AI205" s="80">
        <f t="shared" si="74"/>
        <v>0</v>
      </c>
      <c r="AJ205" s="638">
        <f t="shared" si="83"/>
        <v>0</v>
      </c>
      <c r="AK205" s="322"/>
      <c r="AL205" s="80">
        <f t="shared" si="75"/>
        <v>0</v>
      </c>
      <c r="AM205" s="79"/>
      <c r="AN205" s="322"/>
      <c r="AO205" s="79"/>
      <c r="AP205" s="322"/>
      <c r="AQ205" s="79"/>
      <c r="AR205" s="322"/>
      <c r="AS205" s="79"/>
      <c r="AT205" s="322"/>
      <c r="AU205" s="325">
        <f t="shared" si="76"/>
        <v>0</v>
      </c>
      <c r="AV205" s="90">
        <f t="shared" si="68"/>
        <v>0</v>
      </c>
      <c r="AW205" s="324">
        <f t="shared" si="77"/>
        <v>0</v>
      </c>
      <c r="AX205" s="80">
        <f t="shared" si="69"/>
        <v>0</v>
      </c>
      <c r="AY205" s="326">
        <f t="shared" si="78"/>
        <v>1936.7333333333333</v>
      </c>
      <c r="AZ205" s="80">
        <f t="shared" si="79"/>
        <v>1859.2666666666667</v>
      </c>
    </row>
    <row r="206" spans="1:52">
      <c r="A206" s="204" t="s">
        <v>175</v>
      </c>
      <c r="B206" s="205" t="s">
        <v>195</v>
      </c>
      <c r="C206" s="224">
        <v>156851</v>
      </c>
      <c r="D206" s="345">
        <v>10</v>
      </c>
      <c r="E206" s="162" t="s">
        <v>442</v>
      </c>
      <c r="F206" s="163" t="s">
        <v>442</v>
      </c>
      <c r="G206" s="79"/>
      <c r="H206" s="322"/>
      <c r="I206" s="79">
        <v>13955</v>
      </c>
      <c r="J206" s="349">
        <v>16602</v>
      </c>
      <c r="K206" s="79">
        <v>2961</v>
      </c>
      <c r="L206" s="349">
        <v>3018</v>
      </c>
      <c r="M206" s="79">
        <v>17054</v>
      </c>
      <c r="N206" s="349">
        <v>17223</v>
      </c>
      <c r="O206" s="323">
        <f t="shared" si="70"/>
        <v>33970</v>
      </c>
      <c r="P206" s="638">
        <f t="shared" si="80"/>
        <v>33970</v>
      </c>
      <c r="Q206" s="349">
        <v>1671</v>
      </c>
      <c r="R206" s="90">
        <f t="shared" si="66"/>
        <v>1132.3333333333333</v>
      </c>
      <c r="S206" s="324">
        <f t="shared" si="71"/>
        <v>36843</v>
      </c>
      <c r="T206" s="638">
        <f t="shared" si="81"/>
        <v>36843</v>
      </c>
      <c r="U206" s="349">
        <v>1529</v>
      </c>
      <c r="V206" s="80">
        <f t="shared" si="67"/>
        <v>1228.0999999999999</v>
      </c>
      <c r="W206" s="79"/>
      <c r="X206" s="322"/>
      <c r="Y206" s="79"/>
      <c r="Z206" s="322"/>
      <c r="AA206" s="79"/>
      <c r="AB206" s="322"/>
      <c r="AC206" s="79"/>
      <c r="AD206" s="322"/>
      <c r="AE206" s="323">
        <f t="shared" si="72"/>
        <v>0</v>
      </c>
      <c r="AF206" s="638">
        <f t="shared" si="82"/>
        <v>0</v>
      </c>
      <c r="AG206" s="322"/>
      <c r="AH206" s="90">
        <f t="shared" si="73"/>
        <v>0</v>
      </c>
      <c r="AI206" s="80">
        <f t="shared" si="74"/>
        <v>0</v>
      </c>
      <c r="AJ206" s="638">
        <f t="shared" si="83"/>
        <v>0</v>
      </c>
      <c r="AK206" s="322"/>
      <c r="AL206" s="80">
        <f t="shared" si="75"/>
        <v>0</v>
      </c>
      <c r="AM206" s="79"/>
      <c r="AN206" s="322"/>
      <c r="AO206" s="79"/>
      <c r="AP206" s="322"/>
      <c r="AQ206" s="79"/>
      <c r="AR206" s="322"/>
      <c r="AS206" s="79"/>
      <c r="AT206" s="322"/>
      <c r="AU206" s="325">
        <f t="shared" si="76"/>
        <v>0</v>
      </c>
      <c r="AV206" s="90">
        <f t="shared" si="68"/>
        <v>0</v>
      </c>
      <c r="AW206" s="324">
        <f t="shared" si="77"/>
        <v>0</v>
      </c>
      <c r="AX206" s="80">
        <f t="shared" si="69"/>
        <v>0</v>
      </c>
      <c r="AY206" s="326">
        <f t="shared" si="78"/>
        <v>1132.3333333333333</v>
      </c>
      <c r="AZ206" s="80">
        <f t="shared" si="79"/>
        <v>1228.0999999999999</v>
      </c>
    </row>
    <row r="207" spans="1:52">
      <c r="A207" s="204" t="s">
        <v>175</v>
      </c>
      <c r="B207" s="205" t="s">
        <v>196</v>
      </c>
      <c r="C207" s="224">
        <v>156860</v>
      </c>
      <c r="D207" s="176">
        <v>10</v>
      </c>
      <c r="E207" s="162" t="s">
        <v>442</v>
      </c>
      <c r="F207" s="163" t="s">
        <v>442</v>
      </c>
      <c r="G207" s="79"/>
      <c r="H207" s="322"/>
      <c r="I207" s="79">
        <v>22002</v>
      </c>
      <c r="J207" s="349">
        <v>24304</v>
      </c>
      <c r="K207" s="79">
        <v>2480</v>
      </c>
      <c r="L207" s="349">
        <v>3165</v>
      </c>
      <c r="M207" s="79">
        <v>28352</v>
      </c>
      <c r="N207" s="349">
        <v>28710</v>
      </c>
      <c r="O207" s="323">
        <f t="shared" si="70"/>
        <v>52834</v>
      </c>
      <c r="P207" s="638">
        <f t="shared" si="80"/>
        <v>52834</v>
      </c>
      <c r="Q207" s="349">
        <v>1662</v>
      </c>
      <c r="R207" s="90">
        <f t="shared" si="66"/>
        <v>1761.1333333333334</v>
      </c>
      <c r="S207" s="324">
        <f t="shared" si="71"/>
        <v>56179</v>
      </c>
      <c r="T207" s="638">
        <f t="shared" si="81"/>
        <v>56179</v>
      </c>
      <c r="U207" s="349">
        <v>1229</v>
      </c>
      <c r="V207" s="80">
        <f t="shared" si="67"/>
        <v>1872.6333333333334</v>
      </c>
      <c r="W207" s="79"/>
      <c r="X207" s="322"/>
      <c r="Y207" s="79"/>
      <c r="Z207" s="322"/>
      <c r="AA207" s="79"/>
      <c r="AB207" s="322"/>
      <c r="AC207" s="79"/>
      <c r="AD207" s="322"/>
      <c r="AE207" s="323">
        <f t="shared" si="72"/>
        <v>0</v>
      </c>
      <c r="AF207" s="638">
        <f t="shared" si="82"/>
        <v>0</v>
      </c>
      <c r="AG207" s="322"/>
      <c r="AH207" s="90">
        <f t="shared" si="73"/>
        <v>0</v>
      </c>
      <c r="AI207" s="80">
        <f t="shared" si="74"/>
        <v>0</v>
      </c>
      <c r="AJ207" s="638">
        <f t="shared" si="83"/>
        <v>0</v>
      </c>
      <c r="AK207" s="322"/>
      <c r="AL207" s="80">
        <f t="shared" si="75"/>
        <v>0</v>
      </c>
      <c r="AM207" s="79"/>
      <c r="AN207" s="322"/>
      <c r="AO207" s="79"/>
      <c r="AP207" s="322"/>
      <c r="AQ207" s="79"/>
      <c r="AR207" s="322"/>
      <c r="AS207" s="79"/>
      <c r="AT207" s="322"/>
      <c r="AU207" s="325">
        <f t="shared" si="76"/>
        <v>0</v>
      </c>
      <c r="AV207" s="90">
        <f t="shared" si="68"/>
        <v>0</v>
      </c>
      <c r="AW207" s="324">
        <f t="shared" si="77"/>
        <v>0</v>
      </c>
      <c r="AX207" s="80">
        <f t="shared" si="69"/>
        <v>0</v>
      </c>
      <c r="AY207" s="326">
        <f t="shared" si="78"/>
        <v>1761.1333333333334</v>
      </c>
      <c r="AZ207" s="80">
        <f t="shared" si="79"/>
        <v>1872.6333333333334</v>
      </c>
    </row>
    <row r="208" spans="1:52">
      <c r="A208" s="204" t="s">
        <v>175</v>
      </c>
      <c r="B208" s="382" t="s">
        <v>199</v>
      </c>
      <c r="C208" s="383">
        <v>156338</v>
      </c>
      <c r="D208" s="384">
        <v>12</v>
      </c>
      <c r="E208" s="162" t="s">
        <v>442</v>
      </c>
      <c r="F208" s="163" t="s">
        <v>442</v>
      </c>
      <c r="G208" s="79"/>
      <c r="H208" s="322"/>
      <c r="I208" s="79">
        <v>15572</v>
      </c>
      <c r="J208" s="349">
        <v>16687</v>
      </c>
      <c r="K208" s="79">
        <v>2198</v>
      </c>
      <c r="L208" s="349">
        <v>2289</v>
      </c>
      <c r="M208" s="79">
        <v>21364</v>
      </c>
      <c r="N208" s="349">
        <v>20073</v>
      </c>
      <c r="O208" s="323">
        <f t="shared" si="70"/>
        <v>39134</v>
      </c>
      <c r="P208" s="638">
        <f t="shared" si="80"/>
        <v>39134</v>
      </c>
      <c r="Q208" s="349">
        <v>7083</v>
      </c>
      <c r="R208" s="90">
        <f t="shared" si="66"/>
        <v>1304.4666666666667</v>
      </c>
      <c r="S208" s="324">
        <f t="shared" si="71"/>
        <v>39049</v>
      </c>
      <c r="T208" s="638">
        <f t="shared" si="81"/>
        <v>39049</v>
      </c>
      <c r="U208" s="349">
        <v>5245</v>
      </c>
      <c r="V208" s="80">
        <f t="shared" si="67"/>
        <v>1301.6333333333334</v>
      </c>
      <c r="W208" s="79"/>
      <c r="X208" s="322"/>
      <c r="Y208" s="79"/>
      <c r="Z208" s="322"/>
      <c r="AA208" s="79"/>
      <c r="AB208" s="322"/>
      <c r="AC208" s="79"/>
      <c r="AD208" s="322"/>
      <c r="AE208" s="323">
        <f t="shared" si="72"/>
        <v>0</v>
      </c>
      <c r="AF208" s="638">
        <f t="shared" si="82"/>
        <v>0</v>
      </c>
      <c r="AG208" s="322"/>
      <c r="AH208" s="90">
        <f t="shared" si="73"/>
        <v>0</v>
      </c>
      <c r="AI208" s="80">
        <f t="shared" si="74"/>
        <v>0</v>
      </c>
      <c r="AJ208" s="638">
        <f t="shared" si="83"/>
        <v>0</v>
      </c>
      <c r="AK208" s="322"/>
      <c r="AL208" s="80">
        <f t="shared" si="75"/>
        <v>0</v>
      </c>
      <c r="AM208" s="79"/>
      <c r="AN208" s="322"/>
      <c r="AO208" s="79"/>
      <c r="AP208" s="322"/>
      <c r="AQ208" s="79"/>
      <c r="AR208" s="322"/>
      <c r="AS208" s="79"/>
      <c r="AT208" s="322"/>
      <c r="AU208" s="325">
        <f t="shared" si="76"/>
        <v>0</v>
      </c>
      <c r="AV208" s="90">
        <f t="shared" si="68"/>
        <v>0</v>
      </c>
      <c r="AW208" s="324">
        <f t="shared" si="77"/>
        <v>0</v>
      </c>
      <c r="AX208" s="80">
        <f t="shared" si="69"/>
        <v>0</v>
      </c>
      <c r="AY208" s="326">
        <f t="shared" si="78"/>
        <v>1304.4666666666667</v>
      </c>
      <c r="AZ208" s="80">
        <f t="shared" si="79"/>
        <v>1301.6333333333334</v>
      </c>
    </row>
    <row r="209" spans="1:52">
      <c r="A209" s="204" t="s">
        <v>175</v>
      </c>
      <c r="B209" s="385" t="s">
        <v>198</v>
      </c>
      <c r="C209" s="383">
        <v>157438</v>
      </c>
      <c r="D209" s="193">
        <v>12</v>
      </c>
      <c r="E209" s="162" t="s">
        <v>442</v>
      </c>
      <c r="F209" s="163" t="s">
        <v>442</v>
      </c>
      <c r="G209" s="79"/>
      <c r="H209" s="322"/>
      <c r="I209" s="79">
        <v>19450</v>
      </c>
      <c r="J209" s="349">
        <v>21339</v>
      </c>
      <c r="K209" s="79">
        <v>2642</v>
      </c>
      <c r="L209" s="349">
        <v>2888</v>
      </c>
      <c r="M209" s="79">
        <v>22784</v>
      </c>
      <c r="N209" s="349">
        <v>24590</v>
      </c>
      <c r="O209" s="323">
        <f t="shared" si="70"/>
        <v>44876</v>
      </c>
      <c r="P209" s="638">
        <f t="shared" si="80"/>
        <v>44876</v>
      </c>
      <c r="Q209" s="349">
        <v>3117</v>
      </c>
      <c r="R209" s="90">
        <f t="shared" si="66"/>
        <v>1495.8666666666666</v>
      </c>
      <c r="S209" s="324">
        <f t="shared" si="71"/>
        <v>48817</v>
      </c>
      <c r="T209" s="638">
        <f t="shared" si="81"/>
        <v>48817</v>
      </c>
      <c r="U209" s="349">
        <v>2934</v>
      </c>
      <c r="V209" s="80">
        <f t="shared" si="67"/>
        <v>1627.2333333333333</v>
      </c>
      <c r="W209" s="79"/>
      <c r="X209" s="322"/>
      <c r="Y209" s="79"/>
      <c r="Z209" s="322"/>
      <c r="AA209" s="79"/>
      <c r="AB209" s="322"/>
      <c r="AC209" s="79"/>
      <c r="AD209" s="322"/>
      <c r="AE209" s="323">
        <f t="shared" si="72"/>
        <v>0</v>
      </c>
      <c r="AF209" s="638">
        <f t="shared" si="82"/>
        <v>0</v>
      </c>
      <c r="AG209" s="322"/>
      <c r="AH209" s="90">
        <f t="shared" si="73"/>
        <v>0</v>
      </c>
      <c r="AI209" s="80">
        <f t="shared" si="74"/>
        <v>0</v>
      </c>
      <c r="AJ209" s="638">
        <f t="shared" si="83"/>
        <v>0</v>
      </c>
      <c r="AK209" s="322"/>
      <c r="AL209" s="80">
        <f t="shared" si="75"/>
        <v>0</v>
      </c>
      <c r="AM209" s="79"/>
      <c r="AN209" s="322"/>
      <c r="AO209" s="79"/>
      <c r="AP209" s="322"/>
      <c r="AQ209" s="79"/>
      <c r="AR209" s="322"/>
      <c r="AS209" s="79"/>
      <c r="AT209" s="322"/>
      <c r="AU209" s="325">
        <f t="shared" si="76"/>
        <v>0</v>
      </c>
      <c r="AV209" s="90">
        <f t="shared" si="68"/>
        <v>0</v>
      </c>
      <c r="AW209" s="324">
        <f t="shared" si="77"/>
        <v>0</v>
      </c>
      <c r="AX209" s="80">
        <f t="shared" si="69"/>
        <v>0</v>
      </c>
      <c r="AY209" s="326">
        <f t="shared" si="78"/>
        <v>1495.8666666666666</v>
      </c>
      <c r="AZ209" s="80">
        <f t="shared" si="79"/>
        <v>1627.2333333333333</v>
      </c>
    </row>
    <row r="210" spans="1:52" s="340" customFormat="1">
      <c r="A210" s="194" t="s">
        <v>903</v>
      </c>
      <c r="B210" s="194" t="s">
        <v>904</v>
      </c>
      <c r="C210" s="225">
        <v>159391</v>
      </c>
      <c r="D210" s="196">
        <v>1</v>
      </c>
      <c r="E210" s="162" t="s">
        <v>442</v>
      </c>
      <c r="F210" s="163" t="s">
        <v>442</v>
      </c>
      <c r="G210" s="79">
        <v>0</v>
      </c>
      <c r="H210" s="322"/>
      <c r="I210" s="79">
        <v>328757</v>
      </c>
      <c r="J210" s="349">
        <v>314833</v>
      </c>
      <c r="K210" s="79">
        <v>49450</v>
      </c>
      <c r="L210" s="349">
        <v>45045</v>
      </c>
      <c r="M210" s="79">
        <v>355844</v>
      </c>
      <c r="N210" s="349">
        <v>357128</v>
      </c>
      <c r="O210" s="323">
        <f t="shared" si="70"/>
        <v>734051</v>
      </c>
      <c r="P210" s="638">
        <f t="shared" si="80"/>
        <v>734051</v>
      </c>
      <c r="Q210" s="534">
        <v>294</v>
      </c>
      <c r="R210" s="90">
        <f t="shared" si="66"/>
        <v>24468.366666666665</v>
      </c>
      <c r="S210" s="324">
        <f t="shared" si="71"/>
        <v>717006</v>
      </c>
      <c r="T210" s="638">
        <f t="shared" si="81"/>
        <v>717006</v>
      </c>
      <c r="U210" s="534">
        <v>183</v>
      </c>
      <c r="V210" s="80">
        <f t="shared" si="67"/>
        <v>23900.2</v>
      </c>
      <c r="W210" s="79"/>
      <c r="X210" s="322"/>
      <c r="Y210" s="79"/>
      <c r="Z210" s="322"/>
      <c r="AA210" s="79"/>
      <c r="AB210" s="322"/>
      <c r="AC210" s="79"/>
      <c r="AD210" s="322"/>
      <c r="AE210" s="323">
        <f t="shared" si="72"/>
        <v>0</v>
      </c>
      <c r="AF210" s="638">
        <f t="shared" si="82"/>
        <v>0</v>
      </c>
      <c r="AG210" s="322"/>
      <c r="AH210" s="90">
        <f t="shared" si="73"/>
        <v>0</v>
      </c>
      <c r="AI210" s="80">
        <f t="shared" si="74"/>
        <v>0</v>
      </c>
      <c r="AJ210" s="638">
        <f t="shared" si="83"/>
        <v>0</v>
      </c>
      <c r="AK210" s="322"/>
      <c r="AL210" s="80">
        <f t="shared" si="75"/>
        <v>0</v>
      </c>
      <c r="AM210" s="79">
        <v>0</v>
      </c>
      <c r="AN210" s="322"/>
      <c r="AO210" s="79">
        <v>44761</v>
      </c>
      <c r="AP210" s="322">
        <v>44611</v>
      </c>
      <c r="AQ210" s="79">
        <v>12873</v>
      </c>
      <c r="AR210" s="322">
        <v>13121</v>
      </c>
      <c r="AS210" s="79">
        <v>47293.5</v>
      </c>
      <c r="AT210" s="322">
        <v>48855.5</v>
      </c>
      <c r="AU210" s="325">
        <f t="shared" si="76"/>
        <v>104927.5</v>
      </c>
      <c r="AV210" s="90">
        <f t="shared" si="68"/>
        <v>4371.979166666667</v>
      </c>
      <c r="AW210" s="324">
        <f t="shared" si="77"/>
        <v>106587.5</v>
      </c>
      <c r="AX210" s="80">
        <f t="shared" si="69"/>
        <v>4441.145833333333</v>
      </c>
      <c r="AY210" s="326">
        <f t="shared" si="78"/>
        <v>28840.345833333333</v>
      </c>
      <c r="AZ210" s="80">
        <f t="shared" si="79"/>
        <v>28341.345833333333</v>
      </c>
    </row>
    <row r="211" spans="1:52" s="340" customFormat="1">
      <c r="A211" s="194" t="s">
        <v>903</v>
      </c>
      <c r="B211" s="194" t="s">
        <v>905</v>
      </c>
      <c r="C211" s="386">
        <v>159647</v>
      </c>
      <c r="D211" s="196">
        <v>2</v>
      </c>
      <c r="E211" s="162" t="s">
        <v>563</v>
      </c>
      <c r="F211" s="163" t="s">
        <v>563</v>
      </c>
      <c r="G211" s="79">
        <v>75674</v>
      </c>
      <c r="H211" s="322">
        <v>70228</v>
      </c>
      <c r="I211" s="79">
        <v>71371</v>
      </c>
      <c r="J211" s="349">
        <v>66602</v>
      </c>
      <c r="K211" s="79">
        <v>20148</v>
      </c>
      <c r="L211" s="349">
        <v>18064</v>
      </c>
      <c r="M211" s="79">
        <v>77559</v>
      </c>
      <c r="N211" s="349">
        <v>76759</v>
      </c>
      <c r="O211" s="323">
        <f t="shared" si="70"/>
        <v>244752</v>
      </c>
      <c r="P211" s="638">
        <f t="shared" si="80"/>
        <v>244752</v>
      </c>
      <c r="Q211" s="534">
        <v>1681</v>
      </c>
      <c r="R211" s="90">
        <f>+O211/45</f>
        <v>5438.9333333333334</v>
      </c>
      <c r="S211" s="324">
        <f t="shared" si="71"/>
        <v>231653</v>
      </c>
      <c r="T211" s="638">
        <f t="shared" si="81"/>
        <v>231653</v>
      </c>
      <c r="U211" s="534">
        <v>4613</v>
      </c>
      <c r="V211" s="80">
        <f>+S211/45</f>
        <v>5147.8444444444449</v>
      </c>
      <c r="W211" s="79"/>
      <c r="X211" s="322"/>
      <c r="Y211" s="79"/>
      <c r="Z211" s="322"/>
      <c r="AA211" s="79"/>
      <c r="AB211" s="322"/>
      <c r="AC211" s="79"/>
      <c r="AD211" s="322"/>
      <c r="AE211" s="323">
        <f t="shared" si="72"/>
        <v>0</v>
      </c>
      <c r="AF211" s="638">
        <f t="shared" si="82"/>
        <v>0</v>
      </c>
      <c r="AG211" s="322"/>
      <c r="AH211" s="90">
        <f t="shared" si="73"/>
        <v>0</v>
      </c>
      <c r="AI211" s="80">
        <f t="shared" si="74"/>
        <v>0</v>
      </c>
      <c r="AJ211" s="638">
        <f t="shared" si="83"/>
        <v>0</v>
      </c>
      <c r="AK211" s="322"/>
      <c r="AL211" s="80">
        <f t="shared" si="75"/>
        <v>0</v>
      </c>
      <c r="AM211" s="79">
        <v>7082</v>
      </c>
      <c r="AN211" s="322">
        <v>6955</v>
      </c>
      <c r="AO211" s="79">
        <v>6824</v>
      </c>
      <c r="AP211" s="322">
        <v>6765</v>
      </c>
      <c r="AQ211" s="79">
        <v>4292</v>
      </c>
      <c r="AR211" s="322">
        <v>4143</v>
      </c>
      <c r="AS211" s="79">
        <v>10348</v>
      </c>
      <c r="AT211" s="322">
        <v>10865</v>
      </c>
      <c r="AU211" s="325">
        <f t="shared" si="76"/>
        <v>28546</v>
      </c>
      <c r="AV211" s="90">
        <f>+AU211/36</f>
        <v>792.94444444444446</v>
      </c>
      <c r="AW211" s="324">
        <f t="shared" si="77"/>
        <v>28728</v>
      </c>
      <c r="AX211" s="80">
        <f>+AW211/36</f>
        <v>798</v>
      </c>
      <c r="AY211" s="326">
        <f t="shared" si="78"/>
        <v>6231.8777777777777</v>
      </c>
      <c r="AZ211" s="80">
        <f t="shared" si="79"/>
        <v>5945.8444444444449</v>
      </c>
    </row>
    <row r="212" spans="1:52" s="340" customFormat="1">
      <c r="A212" s="194" t="s">
        <v>903</v>
      </c>
      <c r="B212" s="194" t="s">
        <v>906</v>
      </c>
      <c r="C212" s="225">
        <v>160658</v>
      </c>
      <c r="D212" s="196">
        <v>2</v>
      </c>
      <c r="E212" s="162" t="s">
        <v>442</v>
      </c>
      <c r="F212" s="163" t="s">
        <v>442</v>
      </c>
      <c r="G212" s="79">
        <v>0</v>
      </c>
      <c r="H212" s="322"/>
      <c r="I212" s="79">
        <v>181152</v>
      </c>
      <c r="J212" s="349">
        <v>179733</v>
      </c>
      <c r="K212" s="79">
        <v>24967</v>
      </c>
      <c r="L212" s="349">
        <v>24241</v>
      </c>
      <c r="M212" s="79">
        <v>197316</v>
      </c>
      <c r="N212" s="349">
        <v>195625</v>
      </c>
      <c r="O212" s="323">
        <f t="shared" si="70"/>
        <v>403435</v>
      </c>
      <c r="P212" s="638">
        <f t="shared" si="80"/>
        <v>403435</v>
      </c>
      <c r="Q212" s="534">
        <v>711</v>
      </c>
      <c r="R212" s="90">
        <f t="shared" ref="R212:R275" si="84">+O212/30</f>
        <v>13447.833333333334</v>
      </c>
      <c r="S212" s="324">
        <f t="shared" si="71"/>
        <v>399599</v>
      </c>
      <c r="T212" s="638">
        <f t="shared" si="81"/>
        <v>399599</v>
      </c>
      <c r="U212" s="534">
        <v>663</v>
      </c>
      <c r="V212" s="80">
        <f t="shared" ref="V212:V275" si="85">+S212/30</f>
        <v>13319.966666666667</v>
      </c>
      <c r="W212" s="79"/>
      <c r="X212" s="322"/>
      <c r="Y212" s="79"/>
      <c r="Z212" s="322"/>
      <c r="AA212" s="79"/>
      <c r="AB212" s="322"/>
      <c r="AC212" s="79"/>
      <c r="AD212" s="322"/>
      <c r="AE212" s="323">
        <f t="shared" si="72"/>
        <v>0</v>
      </c>
      <c r="AF212" s="638">
        <f t="shared" si="82"/>
        <v>0</v>
      </c>
      <c r="AG212" s="322"/>
      <c r="AH212" s="90">
        <f t="shared" si="73"/>
        <v>0</v>
      </c>
      <c r="AI212" s="80">
        <f t="shared" si="74"/>
        <v>0</v>
      </c>
      <c r="AJ212" s="638">
        <f t="shared" si="83"/>
        <v>0</v>
      </c>
      <c r="AK212" s="322"/>
      <c r="AL212" s="80">
        <f t="shared" si="75"/>
        <v>0</v>
      </c>
      <c r="AM212" s="79">
        <v>0</v>
      </c>
      <c r="AN212" s="322"/>
      <c r="AO212" s="79">
        <v>11618</v>
      </c>
      <c r="AP212" s="322">
        <v>12770</v>
      </c>
      <c r="AQ212" s="79">
        <v>2892</v>
      </c>
      <c r="AR212" s="322">
        <v>2620</v>
      </c>
      <c r="AS212" s="79">
        <v>12875</v>
      </c>
      <c r="AT212" s="322">
        <v>12145</v>
      </c>
      <c r="AU212" s="325">
        <f t="shared" si="76"/>
        <v>27385</v>
      </c>
      <c r="AV212" s="90">
        <f t="shared" ref="AV212:AV275" si="86">+AU212/24</f>
        <v>1141.0416666666667</v>
      </c>
      <c r="AW212" s="324">
        <f t="shared" si="77"/>
        <v>27535</v>
      </c>
      <c r="AX212" s="80">
        <f t="shared" ref="AX212:AX275" si="87">+AW212/24</f>
        <v>1147.2916666666667</v>
      </c>
      <c r="AY212" s="326">
        <f t="shared" si="78"/>
        <v>14588.875</v>
      </c>
      <c r="AZ212" s="80">
        <f t="shared" si="79"/>
        <v>14467.258333333333</v>
      </c>
    </row>
    <row r="213" spans="1:52" s="340" customFormat="1">
      <c r="A213" s="194" t="s">
        <v>903</v>
      </c>
      <c r="B213" s="195" t="s">
        <v>907</v>
      </c>
      <c r="C213" s="226">
        <v>159939</v>
      </c>
      <c r="D213" s="197">
        <v>2</v>
      </c>
      <c r="E213" s="162" t="s">
        <v>442</v>
      </c>
      <c r="F213" s="163" t="s">
        <v>442</v>
      </c>
      <c r="G213" s="79">
        <v>0</v>
      </c>
      <c r="H213" s="322"/>
      <c r="I213" s="79">
        <v>102534</v>
      </c>
      <c r="J213" s="349">
        <v>99531</v>
      </c>
      <c r="K213" s="79">
        <v>20363</v>
      </c>
      <c r="L213" s="349">
        <v>19874</v>
      </c>
      <c r="M213" s="79">
        <v>106456</v>
      </c>
      <c r="N213" s="349">
        <v>107344</v>
      </c>
      <c r="O213" s="323">
        <f t="shared" si="70"/>
        <v>229353</v>
      </c>
      <c r="P213" s="638">
        <f t="shared" si="80"/>
        <v>229353</v>
      </c>
      <c r="Q213" s="534">
        <v>301</v>
      </c>
      <c r="R213" s="90">
        <f t="shared" si="84"/>
        <v>7645.1</v>
      </c>
      <c r="S213" s="324">
        <f t="shared" si="71"/>
        <v>226749</v>
      </c>
      <c r="T213" s="638">
        <f t="shared" si="81"/>
        <v>226749</v>
      </c>
      <c r="U213" s="534">
        <v>277</v>
      </c>
      <c r="V213" s="80">
        <f t="shared" si="85"/>
        <v>7558.3</v>
      </c>
      <c r="W213" s="79"/>
      <c r="X213" s="322"/>
      <c r="Y213" s="79"/>
      <c r="Z213" s="322"/>
      <c r="AA213" s="79"/>
      <c r="AB213" s="322"/>
      <c r="AC213" s="79"/>
      <c r="AD213" s="322"/>
      <c r="AE213" s="323">
        <f t="shared" si="72"/>
        <v>0</v>
      </c>
      <c r="AF213" s="638">
        <f t="shared" si="82"/>
        <v>0</v>
      </c>
      <c r="AG213" s="322"/>
      <c r="AH213" s="90">
        <f t="shared" si="73"/>
        <v>0</v>
      </c>
      <c r="AI213" s="80">
        <f t="shared" si="74"/>
        <v>0</v>
      </c>
      <c r="AJ213" s="638">
        <f t="shared" si="83"/>
        <v>0</v>
      </c>
      <c r="AK213" s="322"/>
      <c r="AL213" s="80">
        <f t="shared" si="75"/>
        <v>0</v>
      </c>
      <c r="AM213" s="79">
        <v>0</v>
      </c>
      <c r="AN213" s="322"/>
      <c r="AO213" s="79">
        <v>16237</v>
      </c>
      <c r="AP213" s="322">
        <v>17209</v>
      </c>
      <c r="AQ213" s="79">
        <v>7696</v>
      </c>
      <c r="AR213" s="322">
        <v>7586</v>
      </c>
      <c r="AS213" s="79">
        <v>18489</v>
      </c>
      <c r="AT213" s="322">
        <v>19864</v>
      </c>
      <c r="AU213" s="325">
        <f t="shared" si="76"/>
        <v>42422</v>
      </c>
      <c r="AV213" s="90">
        <f t="shared" si="86"/>
        <v>1767.5833333333333</v>
      </c>
      <c r="AW213" s="324">
        <f t="shared" si="77"/>
        <v>44659</v>
      </c>
      <c r="AX213" s="80">
        <f t="shared" si="87"/>
        <v>1860.7916666666667</v>
      </c>
      <c r="AY213" s="326">
        <f t="shared" si="78"/>
        <v>9412.6833333333343</v>
      </c>
      <c r="AZ213" s="80">
        <f t="shared" si="79"/>
        <v>9419.0916666666672</v>
      </c>
    </row>
    <row r="214" spans="1:52" s="96" customFormat="1">
      <c r="A214" s="194" t="s">
        <v>903</v>
      </c>
      <c r="B214" s="195" t="s">
        <v>908</v>
      </c>
      <c r="C214" s="226">
        <v>160612</v>
      </c>
      <c r="D214" s="197">
        <v>3</v>
      </c>
      <c r="E214" s="162" t="s">
        <v>442</v>
      </c>
      <c r="F214" s="163" t="s">
        <v>442</v>
      </c>
      <c r="G214" s="79">
        <v>0</v>
      </c>
      <c r="H214" s="322"/>
      <c r="I214" s="79">
        <v>163100</v>
      </c>
      <c r="J214" s="349">
        <v>159604</v>
      </c>
      <c r="K214" s="79">
        <v>22763</v>
      </c>
      <c r="L214" s="349">
        <v>21388</v>
      </c>
      <c r="M214" s="79">
        <v>178801</v>
      </c>
      <c r="N214" s="349">
        <v>180124</v>
      </c>
      <c r="O214" s="323">
        <f t="shared" si="70"/>
        <v>364664</v>
      </c>
      <c r="P214" s="638">
        <f t="shared" si="80"/>
        <v>364664</v>
      </c>
      <c r="Q214" s="534">
        <v>3029</v>
      </c>
      <c r="R214" s="90">
        <f t="shared" si="84"/>
        <v>12155.466666666667</v>
      </c>
      <c r="S214" s="324">
        <f t="shared" si="71"/>
        <v>361116</v>
      </c>
      <c r="T214" s="638">
        <f t="shared" si="81"/>
        <v>361116</v>
      </c>
      <c r="U214" s="534">
        <v>4828</v>
      </c>
      <c r="V214" s="80">
        <f t="shared" si="85"/>
        <v>12037.2</v>
      </c>
      <c r="W214" s="79"/>
      <c r="X214" s="322"/>
      <c r="Y214" s="79"/>
      <c r="Z214" s="322"/>
      <c r="AA214" s="79"/>
      <c r="AB214" s="322"/>
      <c r="AC214" s="79"/>
      <c r="AD214" s="322"/>
      <c r="AE214" s="323">
        <f t="shared" si="72"/>
        <v>0</v>
      </c>
      <c r="AF214" s="638">
        <f t="shared" si="82"/>
        <v>0</v>
      </c>
      <c r="AG214" s="322"/>
      <c r="AH214" s="90">
        <f t="shared" si="73"/>
        <v>0</v>
      </c>
      <c r="AI214" s="80">
        <f t="shared" si="74"/>
        <v>0</v>
      </c>
      <c r="AJ214" s="638">
        <f t="shared" si="83"/>
        <v>0</v>
      </c>
      <c r="AK214" s="322"/>
      <c r="AL214" s="80">
        <f t="shared" si="75"/>
        <v>0</v>
      </c>
      <c r="AM214" s="79">
        <v>0</v>
      </c>
      <c r="AN214" s="322"/>
      <c r="AO214" s="79">
        <v>9438</v>
      </c>
      <c r="AP214" s="322">
        <v>8982</v>
      </c>
      <c r="AQ214" s="79">
        <v>4808</v>
      </c>
      <c r="AR214" s="322">
        <v>4117</v>
      </c>
      <c r="AS214" s="79">
        <v>9233</v>
      </c>
      <c r="AT214" s="322">
        <v>8709</v>
      </c>
      <c r="AU214" s="325">
        <f t="shared" si="76"/>
        <v>23479</v>
      </c>
      <c r="AV214" s="90">
        <f t="shared" si="86"/>
        <v>978.29166666666663</v>
      </c>
      <c r="AW214" s="324">
        <f t="shared" si="77"/>
        <v>21808</v>
      </c>
      <c r="AX214" s="80">
        <f t="shared" si="87"/>
        <v>908.66666666666663</v>
      </c>
      <c r="AY214" s="326">
        <f t="shared" si="78"/>
        <v>13133.758333333333</v>
      </c>
      <c r="AZ214" s="80">
        <f t="shared" si="79"/>
        <v>12945.866666666667</v>
      </c>
    </row>
    <row r="215" spans="1:52" s="340" customFormat="1">
      <c r="A215" s="194" t="s">
        <v>903</v>
      </c>
      <c r="B215" s="195" t="s">
        <v>909</v>
      </c>
      <c r="C215" s="226">
        <v>160621</v>
      </c>
      <c r="D215" s="197">
        <v>3</v>
      </c>
      <c r="E215" s="162" t="s">
        <v>442</v>
      </c>
      <c r="F215" s="163" t="s">
        <v>442</v>
      </c>
      <c r="G215" s="79">
        <v>0</v>
      </c>
      <c r="H215" s="322"/>
      <c r="I215" s="79">
        <v>104272</v>
      </c>
      <c r="J215" s="349">
        <v>98889</v>
      </c>
      <c r="K215" s="79">
        <v>22237</v>
      </c>
      <c r="L215" s="349">
        <v>17868</v>
      </c>
      <c r="M215" s="79">
        <v>105781</v>
      </c>
      <c r="N215" s="349">
        <v>99920</v>
      </c>
      <c r="O215" s="323">
        <f t="shared" si="70"/>
        <v>232290</v>
      </c>
      <c r="P215" s="638">
        <f t="shared" si="80"/>
        <v>232290</v>
      </c>
      <c r="Q215" s="534">
        <v>308</v>
      </c>
      <c r="R215" s="90">
        <f t="shared" si="84"/>
        <v>7743</v>
      </c>
      <c r="S215" s="324">
        <f t="shared" si="71"/>
        <v>216677</v>
      </c>
      <c r="T215" s="638">
        <f t="shared" si="81"/>
        <v>216677</v>
      </c>
      <c r="U215" s="534">
        <v>66</v>
      </c>
      <c r="V215" s="80">
        <f t="shared" si="85"/>
        <v>7222.5666666666666</v>
      </c>
      <c r="W215" s="79"/>
      <c r="X215" s="322"/>
      <c r="Y215" s="79"/>
      <c r="Z215" s="322"/>
      <c r="AA215" s="79"/>
      <c r="AB215" s="322"/>
      <c r="AC215" s="79"/>
      <c r="AD215" s="322"/>
      <c r="AE215" s="323">
        <f t="shared" si="72"/>
        <v>0</v>
      </c>
      <c r="AF215" s="638">
        <f t="shared" si="82"/>
        <v>0</v>
      </c>
      <c r="AG215" s="322"/>
      <c r="AH215" s="90">
        <f t="shared" si="73"/>
        <v>0</v>
      </c>
      <c r="AI215" s="80">
        <f t="shared" si="74"/>
        <v>0</v>
      </c>
      <c r="AJ215" s="638">
        <f t="shared" si="83"/>
        <v>0</v>
      </c>
      <c r="AK215" s="322"/>
      <c r="AL215" s="80">
        <f t="shared" si="75"/>
        <v>0</v>
      </c>
      <c r="AM215" s="79">
        <v>0</v>
      </c>
      <c r="AN215" s="322"/>
      <c r="AO215" s="79">
        <v>8318</v>
      </c>
      <c r="AP215" s="322">
        <v>7871</v>
      </c>
      <c r="AQ215" s="79">
        <v>2041</v>
      </c>
      <c r="AR215" s="322">
        <v>1828</v>
      </c>
      <c r="AS215" s="79">
        <v>8389</v>
      </c>
      <c r="AT215" s="322">
        <v>8660</v>
      </c>
      <c r="AU215" s="325">
        <f t="shared" si="76"/>
        <v>18748</v>
      </c>
      <c r="AV215" s="90">
        <f t="shared" si="86"/>
        <v>781.16666666666663</v>
      </c>
      <c r="AW215" s="324">
        <f t="shared" si="77"/>
        <v>18359</v>
      </c>
      <c r="AX215" s="80">
        <f t="shared" si="87"/>
        <v>764.95833333333337</v>
      </c>
      <c r="AY215" s="326">
        <f t="shared" si="78"/>
        <v>8524.1666666666661</v>
      </c>
      <c r="AZ215" s="80">
        <f t="shared" si="79"/>
        <v>7987.5249999999996</v>
      </c>
    </row>
    <row r="216" spans="1:52" s="340" customFormat="1">
      <c r="A216" s="194" t="s">
        <v>903</v>
      </c>
      <c r="B216" s="194" t="s">
        <v>910</v>
      </c>
      <c r="C216" s="225">
        <v>159993</v>
      </c>
      <c r="D216" s="196">
        <v>3</v>
      </c>
      <c r="E216" s="162" t="s">
        <v>442</v>
      </c>
      <c r="F216" s="163" t="s">
        <v>442</v>
      </c>
      <c r="G216" s="79">
        <v>0</v>
      </c>
      <c r="H216" s="322"/>
      <c r="I216" s="79">
        <v>89626</v>
      </c>
      <c r="J216" s="349">
        <v>83928</v>
      </c>
      <c r="K216" s="79">
        <v>16564</v>
      </c>
      <c r="L216" s="349">
        <v>16214</v>
      </c>
      <c r="M216" s="79">
        <v>97662</v>
      </c>
      <c r="N216" s="349">
        <v>95098</v>
      </c>
      <c r="O216" s="323">
        <f t="shared" si="70"/>
        <v>203852</v>
      </c>
      <c r="P216" s="638">
        <f t="shared" si="80"/>
        <v>203852</v>
      </c>
      <c r="Q216" s="534">
        <v>3333</v>
      </c>
      <c r="R216" s="90">
        <f t="shared" si="84"/>
        <v>6795.0666666666666</v>
      </c>
      <c r="S216" s="324">
        <f t="shared" si="71"/>
        <v>195240</v>
      </c>
      <c r="T216" s="638">
        <f t="shared" si="81"/>
        <v>195240</v>
      </c>
      <c r="U216" s="534">
        <v>6427</v>
      </c>
      <c r="V216" s="80">
        <f t="shared" si="85"/>
        <v>6508</v>
      </c>
      <c r="W216" s="79"/>
      <c r="X216" s="322"/>
      <c r="Y216" s="79"/>
      <c r="Z216" s="322"/>
      <c r="AA216" s="79"/>
      <c r="AB216" s="322"/>
      <c r="AC216" s="79"/>
      <c r="AD216" s="322"/>
      <c r="AE216" s="323">
        <f t="shared" si="72"/>
        <v>0</v>
      </c>
      <c r="AF216" s="638">
        <f t="shared" si="82"/>
        <v>0</v>
      </c>
      <c r="AG216" s="322"/>
      <c r="AH216" s="90">
        <f t="shared" si="73"/>
        <v>0</v>
      </c>
      <c r="AI216" s="80">
        <f t="shared" si="74"/>
        <v>0</v>
      </c>
      <c r="AJ216" s="638">
        <f t="shared" si="83"/>
        <v>0</v>
      </c>
      <c r="AK216" s="322"/>
      <c r="AL216" s="80">
        <f t="shared" si="75"/>
        <v>0</v>
      </c>
      <c r="AM216" s="79">
        <v>0</v>
      </c>
      <c r="AN216" s="322"/>
      <c r="AO216" s="79">
        <v>9262</v>
      </c>
      <c r="AP216" s="322">
        <v>11509</v>
      </c>
      <c r="AQ216" s="79">
        <v>4912</v>
      </c>
      <c r="AR216" s="322">
        <v>6100</v>
      </c>
      <c r="AS216" s="79">
        <v>8678</v>
      </c>
      <c r="AT216" s="322">
        <v>11931</v>
      </c>
      <c r="AU216" s="325">
        <f t="shared" si="76"/>
        <v>22852</v>
      </c>
      <c r="AV216" s="90">
        <f t="shared" si="86"/>
        <v>952.16666666666663</v>
      </c>
      <c r="AW216" s="324">
        <f t="shared" si="77"/>
        <v>29540</v>
      </c>
      <c r="AX216" s="80">
        <f t="shared" si="87"/>
        <v>1230.8333333333333</v>
      </c>
      <c r="AY216" s="326">
        <f t="shared" si="78"/>
        <v>7747.2333333333336</v>
      </c>
      <c r="AZ216" s="80">
        <f t="shared" si="79"/>
        <v>7738.833333333333</v>
      </c>
    </row>
    <row r="217" spans="1:52" s="96" customFormat="1">
      <c r="A217" s="194" t="s">
        <v>903</v>
      </c>
      <c r="B217" s="194" t="s">
        <v>911</v>
      </c>
      <c r="C217" s="225">
        <v>159009</v>
      </c>
      <c r="D217" s="196">
        <v>4</v>
      </c>
      <c r="E217" s="162" t="s">
        <v>442</v>
      </c>
      <c r="F217" s="163" t="s">
        <v>442</v>
      </c>
      <c r="G217" s="79">
        <v>0</v>
      </c>
      <c r="H217" s="322"/>
      <c r="I217" s="79">
        <v>62080</v>
      </c>
      <c r="J217" s="349">
        <v>64243</v>
      </c>
      <c r="K217" s="79">
        <v>11457</v>
      </c>
      <c r="L217" s="349">
        <v>10196</v>
      </c>
      <c r="M217" s="79">
        <v>66263</v>
      </c>
      <c r="N217" s="349">
        <v>68185</v>
      </c>
      <c r="O217" s="323">
        <f t="shared" si="70"/>
        <v>139800</v>
      </c>
      <c r="P217" s="638">
        <f t="shared" si="80"/>
        <v>139800</v>
      </c>
      <c r="Q217" s="534">
        <v>58</v>
      </c>
      <c r="R217" s="90">
        <f t="shared" si="84"/>
        <v>4660</v>
      </c>
      <c r="S217" s="324">
        <f t="shared" si="71"/>
        <v>142624</v>
      </c>
      <c r="T217" s="638">
        <f t="shared" si="81"/>
        <v>142624</v>
      </c>
      <c r="U217" s="534">
        <v>125</v>
      </c>
      <c r="V217" s="80">
        <f t="shared" si="85"/>
        <v>4754.1333333333332</v>
      </c>
      <c r="W217" s="79"/>
      <c r="X217" s="322"/>
      <c r="Y217" s="79"/>
      <c r="Z217" s="322"/>
      <c r="AA217" s="79"/>
      <c r="AB217" s="322"/>
      <c r="AC217" s="79"/>
      <c r="AD217" s="322"/>
      <c r="AE217" s="323">
        <f t="shared" si="72"/>
        <v>0</v>
      </c>
      <c r="AF217" s="638">
        <f t="shared" si="82"/>
        <v>0</v>
      </c>
      <c r="AG217" s="322"/>
      <c r="AH217" s="90">
        <f t="shared" si="73"/>
        <v>0</v>
      </c>
      <c r="AI217" s="80">
        <f t="shared" si="74"/>
        <v>0</v>
      </c>
      <c r="AJ217" s="638">
        <f t="shared" si="83"/>
        <v>0</v>
      </c>
      <c r="AK217" s="322"/>
      <c r="AL217" s="80">
        <f t="shared" si="75"/>
        <v>0</v>
      </c>
      <c r="AM217" s="79">
        <v>0</v>
      </c>
      <c r="AN217" s="322"/>
      <c r="AO217" s="79">
        <v>4077</v>
      </c>
      <c r="AP217" s="322">
        <v>3339</v>
      </c>
      <c r="AQ217" s="79">
        <v>1293</v>
      </c>
      <c r="AR217" s="322">
        <v>1496</v>
      </c>
      <c r="AS217" s="79">
        <v>3308</v>
      </c>
      <c r="AT217" s="322">
        <v>3726</v>
      </c>
      <c r="AU217" s="325">
        <f t="shared" si="76"/>
        <v>8678</v>
      </c>
      <c r="AV217" s="90">
        <f t="shared" si="86"/>
        <v>361.58333333333331</v>
      </c>
      <c r="AW217" s="324">
        <f t="shared" si="77"/>
        <v>8561</v>
      </c>
      <c r="AX217" s="80">
        <f t="shared" si="87"/>
        <v>356.70833333333331</v>
      </c>
      <c r="AY217" s="326">
        <f t="shared" si="78"/>
        <v>5021.583333333333</v>
      </c>
      <c r="AZ217" s="80">
        <f t="shared" si="79"/>
        <v>5110.8416666666662</v>
      </c>
    </row>
    <row r="218" spans="1:52" s="96" customFormat="1">
      <c r="A218" s="194" t="s">
        <v>903</v>
      </c>
      <c r="B218" s="194" t="s">
        <v>912</v>
      </c>
      <c r="C218" s="225">
        <v>159416</v>
      </c>
      <c r="D218" s="196">
        <v>4</v>
      </c>
      <c r="E218" s="162" t="s">
        <v>442</v>
      </c>
      <c r="F218" s="163" t="s">
        <v>442</v>
      </c>
      <c r="G218" s="79">
        <v>0</v>
      </c>
      <c r="H218" s="322"/>
      <c r="I218" s="79">
        <v>37297</v>
      </c>
      <c r="J218" s="349">
        <v>37785</v>
      </c>
      <c r="K218" s="79">
        <v>8502</v>
      </c>
      <c r="L218" s="349">
        <v>8384</v>
      </c>
      <c r="M218" s="79">
        <v>40039</v>
      </c>
      <c r="N218" s="349">
        <v>41914</v>
      </c>
      <c r="O218" s="323">
        <f t="shared" si="70"/>
        <v>85838</v>
      </c>
      <c r="P218" s="638">
        <f t="shared" si="80"/>
        <v>85838</v>
      </c>
      <c r="Q218" s="534">
        <v>408</v>
      </c>
      <c r="R218" s="90">
        <f t="shared" si="84"/>
        <v>2861.2666666666669</v>
      </c>
      <c r="S218" s="324">
        <f t="shared" si="71"/>
        <v>88083</v>
      </c>
      <c r="T218" s="638">
        <f t="shared" si="81"/>
        <v>88083</v>
      </c>
      <c r="U218" s="534">
        <v>4520</v>
      </c>
      <c r="V218" s="80">
        <f t="shared" si="85"/>
        <v>2936.1</v>
      </c>
      <c r="W218" s="79"/>
      <c r="X218" s="322"/>
      <c r="Y218" s="79"/>
      <c r="Z218" s="322"/>
      <c r="AA218" s="79"/>
      <c r="AB218" s="322"/>
      <c r="AC218" s="79"/>
      <c r="AD218" s="322"/>
      <c r="AE218" s="323">
        <f t="shared" si="72"/>
        <v>0</v>
      </c>
      <c r="AF218" s="638">
        <f t="shared" si="82"/>
        <v>0</v>
      </c>
      <c r="AG218" s="322"/>
      <c r="AH218" s="90">
        <f t="shared" si="73"/>
        <v>0</v>
      </c>
      <c r="AI218" s="80">
        <f t="shared" si="74"/>
        <v>0</v>
      </c>
      <c r="AJ218" s="638">
        <f t="shared" si="83"/>
        <v>0</v>
      </c>
      <c r="AK218" s="322"/>
      <c r="AL218" s="80">
        <f t="shared" si="75"/>
        <v>0</v>
      </c>
      <c r="AM218" s="79">
        <v>0</v>
      </c>
      <c r="AN218" s="322"/>
      <c r="AO218" s="79">
        <v>2567</v>
      </c>
      <c r="AP218" s="322">
        <v>2251</v>
      </c>
      <c r="AQ218" s="79">
        <v>1207</v>
      </c>
      <c r="AR218" s="322">
        <v>1281</v>
      </c>
      <c r="AS218" s="79">
        <v>2339</v>
      </c>
      <c r="AT218" s="322">
        <v>2385</v>
      </c>
      <c r="AU218" s="325">
        <f t="shared" si="76"/>
        <v>6113</v>
      </c>
      <c r="AV218" s="90">
        <f t="shared" si="86"/>
        <v>254.70833333333334</v>
      </c>
      <c r="AW218" s="324">
        <f t="shared" si="77"/>
        <v>5917</v>
      </c>
      <c r="AX218" s="80">
        <f t="shared" si="87"/>
        <v>246.54166666666666</v>
      </c>
      <c r="AY218" s="326">
        <f t="shared" si="78"/>
        <v>3115.9750000000004</v>
      </c>
      <c r="AZ218" s="80">
        <f t="shared" si="79"/>
        <v>3182.6416666666664</v>
      </c>
    </row>
    <row r="219" spans="1:52" s="96" customFormat="1">
      <c r="A219" s="194" t="s">
        <v>903</v>
      </c>
      <c r="B219" s="195" t="s">
        <v>913</v>
      </c>
      <c r="C219" s="226">
        <v>159717</v>
      </c>
      <c r="D219" s="197">
        <v>4</v>
      </c>
      <c r="E219" s="162" t="s">
        <v>442</v>
      </c>
      <c r="F219" s="163" t="s">
        <v>442</v>
      </c>
      <c r="G219" s="79">
        <v>0</v>
      </c>
      <c r="H219" s="322"/>
      <c r="I219" s="79">
        <v>93944</v>
      </c>
      <c r="J219" s="349">
        <v>92412</v>
      </c>
      <c r="K219" s="79">
        <v>11064</v>
      </c>
      <c r="L219" s="349">
        <v>11373</v>
      </c>
      <c r="M219" s="79">
        <v>97815</v>
      </c>
      <c r="N219" s="349">
        <v>100054</v>
      </c>
      <c r="O219" s="323">
        <f t="shared" si="70"/>
        <v>202823</v>
      </c>
      <c r="P219" s="638">
        <f t="shared" si="80"/>
        <v>202823</v>
      </c>
      <c r="Q219" s="534">
        <v>1593</v>
      </c>
      <c r="R219" s="90">
        <f t="shared" si="84"/>
        <v>6760.7666666666664</v>
      </c>
      <c r="S219" s="324">
        <f t="shared" si="71"/>
        <v>203839</v>
      </c>
      <c r="T219" s="638">
        <f t="shared" si="81"/>
        <v>203839</v>
      </c>
      <c r="U219" s="534">
        <v>2852</v>
      </c>
      <c r="V219" s="80">
        <f t="shared" si="85"/>
        <v>6794.6333333333332</v>
      </c>
      <c r="W219" s="79"/>
      <c r="X219" s="322"/>
      <c r="Y219" s="79"/>
      <c r="Z219" s="322"/>
      <c r="AA219" s="79"/>
      <c r="AB219" s="322"/>
      <c r="AC219" s="79"/>
      <c r="AD219" s="322"/>
      <c r="AE219" s="323">
        <f t="shared" si="72"/>
        <v>0</v>
      </c>
      <c r="AF219" s="638">
        <f t="shared" si="82"/>
        <v>0</v>
      </c>
      <c r="AG219" s="322"/>
      <c r="AH219" s="90">
        <f t="shared" si="73"/>
        <v>0</v>
      </c>
      <c r="AI219" s="80">
        <f t="shared" si="74"/>
        <v>0</v>
      </c>
      <c r="AJ219" s="638">
        <f t="shared" si="83"/>
        <v>0</v>
      </c>
      <c r="AK219" s="322"/>
      <c r="AL219" s="80">
        <f t="shared" si="75"/>
        <v>0</v>
      </c>
      <c r="AM219" s="79">
        <v>0</v>
      </c>
      <c r="AN219" s="322"/>
      <c r="AO219" s="79">
        <v>6955</v>
      </c>
      <c r="AP219" s="322">
        <v>6176</v>
      </c>
      <c r="AQ219" s="79">
        <v>2051</v>
      </c>
      <c r="AR219" s="322">
        <v>2399</v>
      </c>
      <c r="AS219" s="79">
        <v>6690</v>
      </c>
      <c r="AT219" s="322">
        <v>6112</v>
      </c>
      <c r="AU219" s="325">
        <f t="shared" si="76"/>
        <v>15696</v>
      </c>
      <c r="AV219" s="90">
        <f t="shared" si="86"/>
        <v>654</v>
      </c>
      <c r="AW219" s="324">
        <f t="shared" si="77"/>
        <v>14687</v>
      </c>
      <c r="AX219" s="80">
        <f t="shared" si="87"/>
        <v>611.95833333333337</v>
      </c>
      <c r="AY219" s="326">
        <f t="shared" si="78"/>
        <v>7414.7666666666664</v>
      </c>
      <c r="AZ219" s="80">
        <f t="shared" si="79"/>
        <v>7406.5916666666662</v>
      </c>
    </row>
    <row r="220" spans="1:52" s="96" customFormat="1">
      <c r="A220" s="194" t="s">
        <v>903</v>
      </c>
      <c r="B220" s="195" t="s">
        <v>914</v>
      </c>
      <c r="C220" s="226">
        <v>159966</v>
      </c>
      <c r="D220" s="197">
        <v>4</v>
      </c>
      <c r="E220" s="162" t="s">
        <v>442</v>
      </c>
      <c r="F220" s="163" t="s">
        <v>442</v>
      </c>
      <c r="G220" s="79">
        <v>0</v>
      </c>
      <c r="H220" s="322"/>
      <c r="I220" s="79">
        <v>75436</v>
      </c>
      <c r="J220" s="349">
        <v>76760</v>
      </c>
      <c r="K220" s="79">
        <v>11782</v>
      </c>
      <c r="L220" s="349">
        <v>12286</v>
      </c>
      <c r="M220" s="79">
        <v>82685</v>
      </c>
      <c r="N220" s="349">
        <v>84910</v>
      </c>
      <c r="O220" s="323">
        <f t="shared" si="70"/>
        <v>169903</v>
      </c>
      <c r="P220" s="638">
        <f t="shared" si="80"/>
        <v>169903</v>
      </c>
      <c r="Q220" s="534">
        <v>952</v>
      </c>
      <c r="R220" s="90">
        <f t="shared" si="84"/>
        <v>5663.4333333333334</v>
      </c>
      <c r="S220" s="324">
        <f t="shared" si="71"/>
        <v>173956</v>
      </c>
      <c r="T220" s="638">
        <f t="shared" si="81"/>
        <v>173956</v>
      </c>
      <c r="U220" s="534">
        <v>1928</v>
      </c>
      <c r="V220" s="80">
        <f t="shared" si="85"/>
        <v>5798.5333333333338</v>
      </c>
      <c r="W220" s="79"/>
      <c r="X220" s="322"/>
      <c r="Y220" s="79"/>
      <c r="Z220" s="322"/>
      <c r="AA220" s="79"/>
      <c r="AB220" s="322"/>
      <c r="AC220" s="79"/>
      <c r="AD220" s="322"/>
      <c r="AE220" s="323">
        <f t="shared" si="72"/>
        <v>0</v>
      </c>
      <c r="AF220" s="638">
        <f t="shared" si="82"/>
        <v>0</v>
      </c>
      <c r="AG220" s="322"/>
      <c r="AH220" s="90">
        <f t="shared" si="73"/>
        <v>0</v>
      </c>
      <c r="AI220" s="80">
        <f t="shared" si="74"/>
        <v>0</v>
      </c>
      <c r="AJ220" s="638">
        <f t="shared" si="83"/>
        <v>0</v>
      </c>
      <c r="AK220" s="322"/>
      <c r="AL220" s="80">
        <f t="shared" si="75"/>
        <v>0</v>
      </c>
      <c r="AM220" s="79">
        <v>0</v>
      </c>
      <c r="AN220" s="322"/>
      <c r="AO220" s="79">
        <v>3768</v>
      </c>
      <c r="AP220" s="322">
        <v>3101</v>
      </c>
      <c r="AQ220" s="79">
        <v>3752</v>
      </c>
      <c r="AR220" s="322">
        <v>3230</v>
      </c>
      <c r="AS220" s="79">
        <v>3743</v>
      </c>
      <c r="AT220" s="322">
        <v>3302</v>
      </c>
      <c r="AU220" s="325">
        <f t="shared" si="76"/>
        <v>11263</v>
      </c>
      <c r="AV220" s="90">
        <f t="shared" si="86"/>
        <v>469.29166666666669</v>
      </c>
      <c r="AW220" s="324">
        <f t="shared" si="77"/>
        <v>9633</v>
      </c>
      <c r="AX220" s="80">
        <f t="shared" si="87"/>
        <v>401.375</v>
      </c>
      <c r="AY220" s="326">
        <f t="shared" si="78"/>
        <v>6132.7250000000004</v>
      </c>
      <c r="AZ220" s="80">
        <f t="shared" si="79"/>
        <v>6199.9083333333338</v>
      </c>
    </row>
    <row r="221" spans="1:52" s="96" customFormat="1">
      <c r="A221" s="194" t="s">
        <v>903</v>
      </c>
      <c r="B221" s="194" t="s">
        <v>915</v>
      </c>
      <c r="C221" s="225">
        <v>160038</v>
      </c>
      <c r="D221" s="196">
        <v>4</v>
      </c>
      <c r="E221" s="162" t="s">
        <v>442</v>
      </c>
      <c r="F221" s="163" t="s">
        <v>442</v>
      </c>
      <c r="G221" s="79">
        <v>0</v>
      </c>
      <c r="H221" s="322"/>
      <c r="I221" s="79">
        <v>98010</v>
      </c>
      <c r="J221" s="349">
        <v>95584</v>
      </c>
      <c r="K221" s="79">
        <v>21357</v>
      </c>
      <c r="L221" s="349">
        <v>21194</v>
      </c>
      <c r="M221" s="79">
        <v>102623</v>
      </c>
      <c r="N221" s="349">
        <v>101155</v>
      </c>
      <c r="O221" s="323">
        <f t="shared" si="70"/>
        <v>221990</v>
      </c>
      <c r="P221" s="638">
        <f t="shared" si="80"/>
        <v>221990</v>
      </c>
      <c r="Q221" s="534">
        <v>2129</v>
      </c>
      <c r="R221" s="90">
        <f t="shared" si="84"/>
        <v>7399.666666666667</v>
      </c>
      <c r="S221" s="324">
        <f t="shared" si="71"/>
        <v>217933</v>
      </c>
      <c r="T221" s="638">
        <f t="shared" si="81"/>
        <v>217933</v>
      </c>
      <c r="U221" s="534">
        <v>4802</v>
      </c>
      <c r="V221" s="80">
        <f t="shared" si="85"/>
        <v>7264.4333333333334</v>
      </c>
      <c r="W221" s="79"/>
      <c r="X221" s="322"/>
      <c r="Y221" s="79"/>
      <c r="Z221" s="322"/>
      <c r="AA221" s="79"/>
      <c r="AB221" s="322"/>
      <c r="AC221" s="79"/>
      <c r="AD221" s="322"/>
      <c r="AE221" s="323">
        <f t="shared" si="72"/>
        <v>0</v>
      </c>
      <c r="AF221" s="638">
        <f t="shared" si="82"/>
        <v>0</v>
      </c>
      <c r="AG221" s="322"/>
      <c r="AH221" s="90">
        <f t="shared" si="73"/>
        <v>0</v>
      </c>
      <c r="AI221" s="80">
        <f t="shared" si="74"/>
        <v>0</v>
      </c>
      <c r="AJ221" s="638">
        <f t="shared" si="83"/>
        <v>0</v>
      </c>
      <c r="AK221" s="322"/>
      <c r="AL221" s="80">
        <f t="shared" si="75"/>
        <v>0</v>
      </c>
      <c r="AM221" s="79">
        <v>0</v>
      </c>
      <c r="AN221" s="322"/>
      <c r="AO221" s="79">
        <v>6483</v>
      </c>
      <c r="AP221" s="322">
        <v>6287</v>
      </c>
      <c r="AQ221" s="79">
        <v>4793</v>
      </c>
      <c r="AR221" s="322">
        <v>4511</v>
      </c>
      <c r="AS221" s="79">
        <v>6324</v>
      </c>
      <c r="AT221" s="322">
        <v>6344</v>
      </c>
      <c r="AU221" s="325">
        <f t="shared" si="76"/>
        <v>17600</v>
      </c>
      <c r="AV221" s="90">
        <f t="shared" si="86"/>
        <v>733.33333333333337</v>
      </c>
      <c r="AW221" s="324">
        <f t="shared" si="77"/>
        <v>17142</v>
      </c>
      <c r="AX221" s="80">
        <f t="shared" si="87"/>
        <v>714.25</v>
      </c>
      <c r="AY221" s="326">
        <f t="shared" si="78"/>
        <v>8133</v>
      </c>
      <c r="AZ221" s="80">
        <f t="shared" si="79"/>
        <v>7978.6833333333334</v>
      </c>
    </row>
    <row r="222" spans="1:52" s="96" customFormat="1">
      <c r="A222" s="194" t="s">
        <v>903</v>
      </c>
      <c r="B222" s="387" t="s">
        <v>916</v>
      </c>
      <c r="C222" s="226">
        <v>160630</v>
      </c>
      <c r="D222" s="197">
        <v>5</v>
      </c>
      <c r="E222" s="162" t="s">
        <v>442</v>
      </c>
      <c r="F222" s="163" t="s">
        <v>442</v>
      </c>
      <c r="G222" s="79">
        <v>0</v>
      </c>
      <c r="H222" s="322"/>
      <c r="I222" s="79">
        <v>23202</v>
      </c>
      <c r="J222" s="349">
        <v>28548</v>
      </c>
      <c r="K222" s="79">
        <v>1884</v>
      </c>
      <c r="L222" s="349">
        <v>1761</v>
      </c>
      <c r="M222" s="79">
        <v>26912</v>
      </c>
      <c r="N222" s="349">
        <v>29982</v>
      </c>
      <c r="O222" s="323">
        <f t="shared" si="70"/>
        <v>51998</v>
      </c>
      <c r="P222" s="638">
        <f t="shared" si="80"/>
        <v>51998</v>
      </c>
      <c r="Q222" s="534">
        <v>1038</v>
      </c>
      <c r="R222" s="90">
        <f t="shared" si="84"/>
        <v>1733.2666666666667</v>
      </c>
      <c r="S222" s="324">
        <f t="shared" si="71"/>
        <v>60291</v>
      </c>
      <c r="T222" s="638">
        <f t="shared" si="81"/>
        <v>60291</v>
      </c>
      <c r="U222" s="534">
        <v>1103</v>
      </c>
      <c r="V222" s="80">
        <f t="shared" si="85"/>
        <v>2009.7</v>
      </c>
      <c r="W222" s="79"/>
      <c r="X222" s="322"/>
      <c r="Y222" s="79"/>
      <c r="Z222" s="322"/>
      <c r="AA222" s="79"/>
      <c r="AB222" s="322"/>
      <c r="AC222" s="79"/>
      <c r="AD222" s="322"/>
      <c r="AE222" s="323">
        <f t="shared" si="72"/>
        <v>0</v>
      </c>
      <c r="AF222" s="638">
        <f t="shared" si="82"/>
        <v>0</v>
      </c>
      <c r="AG222" s="322"/>
      <c r="AH222" s="90">
        <f t="shared" si="73"/>
        <v>0</v>
      </c>
      <c r="AI222" s="80">
        <f t="shared" si="74"/>
        <v>0</v>
      </c>
      <c r="AJ222" s="638">
        <f t="shared" si="83"/>
        <v>0</v>
      </c>
      <c r="AK222" s="322"/>
      <c r="AL222" s="80">
        <f t="shared" si="75"/>
        <v>0</v>
      </c>
      <c r="AM222" s="79">
        <v>0</v>
      </c>
      <c r="AN222" s="322"/>
      <c r="AO222" s="79">
        <v>3519</v>
      </c>
      <c r="AP222" s="322">
        <v>4044</v>
      </c>
      <c r="AQ222" s="79">
        <v>526</v>
      </c>
      <c r="AR222" s="322">
        <v>472</v>
      </c>
      <c r="AS222" s="79">
        <v>3917</v>
      </c>
      <c r="AT222" s="322">
        <v>5083</v>
      </c>
      <c r="AU222" s="325">
        <f t="shared" si="76"/>
        <v>7962</v>
      </c>
      <c r="AV222" s="90">
        <f t="shared" si="86"/>
        <v>331.75</v>
      </c>
      <c r="AW222" s="324">
        <f t="shared" si="77"/>
        <v>9599</v>
      </c>
      <c r="AX222" s="80">
        <f t="shared" si="87"/>
        <v>399.95833333333331</v>
      </c>
      <c r="AY222" s="326">
        <f t="shared" si="78"/>
        <v>2065.0166666666664</v>
      </c>
      <c r="AZ222" s="80">
        <f t="shared" si="79"/>
        <v>2409.6583333333333</v>
      </c>
    </row>
    <row r="223" spans="1:52" s="96" customFormat="1">
      <c r="A223" s="194" t="s">
        <v>903</v>
      </c>
      <c r="B223" s="195" t="s">
        <v>917</v>
      </c>
      <c r="C223" s="225">
        <v>159382</v>
      </c>
      <c r="D223" s="196">
        <v>7</v>
      </c>
      <c r="E223" s="162" t="s">
        <v>442</v>
      </c>
      <c r="F223" s="163" t="s">
        <v>442</v>
      </c>
      <c r="G223" s="79">
        <v>0</v>
      </c>
      <c r="H223" s="322"/>
      <c r="I223" s="79">
        <v>26756</v>
      </c>
      <c r="J223" s="349">
        <v>25547</v>
      </c>
      <c r="K223" s="79">
        <v>4606</v>
      </c>
      <c r="L223" s="349">
        <v>4330</v>
      </c>
      <c r="M223" s="79">
        <v>26416</v>
      </c>
      <c r="N223" s="349">
        <v>28249</v>
      </c>
      <c r="O223" s="323">
        <f t="shared" si="70"/>
        <v>57778</v>
      </c>
      <c r="P223" s="638">
        <f t="shared" si="80"/>
        <v>57778</v>
      </c>
      <c r="Q223" s="534">
        <v>2127</v>
      </c>
      <c r="R223" s="90">
        <f t="shared" si="84"/>
        <v>1925.9333333333334</v>
      </c>
      <c r="S223" s="324">
        <f t="shared" si="71"/>
        <v>58126</v>
      </c>
      <c r="T223" s="638">
        <f t="shared" si="81"/>
        <v>58126</v>
      </c>
      <c r="U223" s="534">
        <v>4748</v>
      </c>
      <c r="V223" s="80">
        <f t="shared" si="85"/>
        <v>1937.5333333333333</v>
      </c>
      <c r="W223" s="79"/>
      <c r="X223" s="322"/>
      <c r="Y223" s="79"/>
      <c r="Z223" s="322"/>
      <c r="AA223" s="79"/>
      <c r="AB223" s="322"/>
      <c r="AC223" s="79"/>
      <c r="AD223" s="322"/>
      <c r="AE223" s="323">
        <f t="shared" si="72"/>
        <v>0</v>
      </c>
      <c r="AF223" s="638">
        <f t="shared" si="82"/>
        <v>0</v>
      </c>
      <c r="AG223" s="322"/>
      <c r="AH223" s="90">
        <f t="shared" si="73"/>
        <v>0</v>
      </c>
      <c r="AI223" s="80">
        <f t="shared" si="74"/>
        <v>0</v>
      </c>
      <c r="AJ223" s="638">
        <f t="shared" si="83"/>
        <v>0</v>
      </c>
      <c r="AK223" s="322"/>
      <c r="AL223" s="80">
        <f t="shared" si="75"/>
        <v>0</v>
      </c>
      <c r="AM223" s="79">
        <v>0</v>
      </c>
      <c r="AN223" s="322"/>
      <c r="AO223" s="79">
        <v>0</v>
      </c>
      <c r="AP223" s="322"/>
      <c r="AQ223" s="79">
        <v>0</v>
      </c>
      <c r="AR223" s="322"/>
      <c r="AS223" s="79">
        <v>0</v>
      </c>
      <c r="AT223" s="322"/>
      <c r="AU223" s="325">
        <f t="shared" si="76"/>
        <v>0</v>
      </c>
      <c r="AV223" s="90">
        <f t="shared" si="86"/>
        <v>0</v>
      </c>
      <c r="AW223" s="324">
        <f t="shared" si="77"/>
        <v>0</v>
      </c>
      <c r="AX223" s="80">
        <f t="shared" si="87"/>
        <v>0</v>
      </c>
      <c r="AY223" s="326">
        <f t="shared" si="78"/>
        <v>1925.9333333333334</v>
      </c>
      <c r="AZ223" s="80">
        <f t="shared" si="79"/>
        <v>1937.5333333333333</v>
      </c>
    </row>
    <row r="224" spans="1:52" s="96" customFormat="1">
      <c r="A224" s="194" t="s">
        <v>903</v>
      </c>
      <c r="B224" s="194" t="s">
        <v>918</v>
      </c>
      <c r="C224" s="225">
        <v>158662</v>
      </c>
      <c r="D224" s="196">
        <v>8</v>
      </c>
      <c r="E224" s="162" t="s">
        <v>442</v>
      </c>
      <c r="F224" s="163" t="s">
        <v>442</v>
      </c>
      <c r="G224" s="79">
        <v>0</v>
      </c>
      <c r="H224" s="322"/>
      <c r="I224" s="79">
        <v>111054</v>
      </c>
      <c r="J224" s="349">
        <v>124409</v>
      </c>
      <c r="K224" s="79">
        <v>28525</v>
      </c>
      <c r="L224" s="349">
        <v>30119</v>
      </c>
      <c r="M224" s="79">
        <v>127565</v>
      </c>
      <c r="N224" s="349">
        <v>136216</v>
      </c>
      <c r="O224" s="323">
        <f t="shared" si="70"/>
        <v>267144</v>
      </c>
      <c r="P224" s="638">
        <f t="shared" si="80"/>
        <v>267144</v>
      </c>
      <c r="Q224" s="534">
        <v>1015</v>
      </c>
      <c r="R224" s="90">
        <f t="shared" si="84"/>
        <v>8904.7999999999993</v>
      </c>
      <c r="S224" s="324">
        <f t="shared" si="71"/>
        <v>290744</v>
      </c>
      <c r="T224" s="638">
        <f t="shared" si="81"/>
        <v>290744</v>
      </c>
      <c r="U224" s="534">
        <v>1562</v>
      </c>
      <c r="V224" s="80">
        <f t="shared" si="85"/>
        <v>9691.4666666666672</v>
      </c>
      <c r="W224" s="79"/>
      <c r="X224" s="322"/>
      <c r="Y224" s="79"/>
      <c r="Z224" s="322"/>
      <c r="AA224" s="79"/>
      <c r="AB224" s="322"/>
      <c r="AC224" s="79"/>
      <c r="AD224" s="322"/>
      <c r="AE224" s="323">
        <f t="shared" si="72"/>
        <v>0</v>
      </c>
      <c r="AF224" s="638">
        <f t="shared" si="82"/>
        <v>0</v>
      </c>
      <c r="AG224" s="322"/>
      <c r="AH224" s="90">
        <f t="shared" si="73"/>
        <v>0</v>
      </c>
      <c r="AI224" s="80">
        <f t="shared" si="74"/>
        <v>0</v>
      </c>
      <c r="AJ224" s="638">
        <f t="shared" si="83"/>
        <v>0</v>
      </c>
      <c r="AK224" s="322"/>
      <c r="AL224" s="80">
        <f t="shared" si="75"/>
        <v>0</v>
      </c>
      <c r="AM224" s="79">
        <v>0</v>
      </c>
      <c r="AN224" s="322"/>
      <c r="AO224" s="79">
        <v>0</v>
      </c>
      <c r="AP224" s="322"/>
      <c r="AQ224" s="79">
        <v>0</v>
      </c>
      <c r="AR224" s="322"/>
      <c r="AS224" s="79">
        <v>0</v>
      </c>
      <c r="AT224" s="322"/>
      <c r="AU224" s="325">
        <f t="shared" si="76"/>
        <v>0</v>
      </c>
      <c r="AV224" s="90">
        <f t="shared" si="86"/>
        <v>0</v>
      </c>
      <c r="AW224" s="324">
        <f t="shared" si="77"/>
        <v>0</v>
      </c>
      <c r="AX224" s="80">
        <f t="shared" si="87"/>
        <v>0</v>
      </c>
      <c r="AY224" s="326">
        <f t="shared" si="78"/>
        <v>8904.7999999999993</v>
      </c>
      <c r="AZ224" s="80">
        <f t="shared" si="79"/>
        <v>9691.4666666666672</v>
      </c>
    </row>
    <row r="225" spans="1:52" s="96" customFormat="1">
      <c r="A225" s="194" t="s">
        <v>903</v>
      </c>
      <c r="B225" s="194" t="s">
        <v>919</v>
      </c>
      <c r="C225" s="225">
        <v>437103</v>
      </c>
      <c r="D225" s="196">
        <v>9</v>
      </c>
      <c r="E225" s="162" t="s">
        <v>442</v>
      </c>
      <c r="F225" s="163" t="s">
        <v>442</v>
      </c>
      <c r="G225" s="79">
        <v>0</v>
      </c>
      <c r="H225" s="322"/>
      <c r="I225" s="79">
        <v>61280</v>
      </c>
      <c r="J225" s="349">
        <v>64649</v>
      </c>
      <c r="K225" s="79">
        <v>10499</v>
      </c>
      <c r="L225" s="349">
        <v>14029</v>
      </c>
      <c r="M225" s="79">
        <v>69820</v>
      </c>
      <c r="N225" s="349">
        <v>73895</v>
      </c>
      <c r="O225" s="323">
        <f t="shared" si="70"/>
        <v>141599</v>
      </c>
      <c r="P225" s="638">
        <f t="shared" si="80"/>
        <v>141599</v>
      </c>
      <c r="Q225" s="534">
        <v>2856</v>
      </c>
      <c r="R225" s="90">
        <f t="shared" si="84"/>
        <v>4719.9666666666662</v>
      </c>
      <c r="S225" s="324">
        <f t="shared" si="71"/>
        <v>152573</v>
      </c>
      <c r="T225" s="638">
        <f t="shared" si="81"/>
        <v>152573</v>
      </c>
      <c r="U225" s="534">
        <v>2698</v>
      </c>
      <c r="V225" s="80">
        <f t="shared" si="85"/>
        <v>5085.7666666666664</v>
      </c>
      <c r="W225" s="79"/>
      <c r="X225" s="322"/>
      <c r="Y225" s="79"/>
      <c r="Z225" s="322"/>
      <c r="AA225" s="79"/>
      <c r="AB225" s="322"/>
      <c r="AC225" s="79"/>
      <c r="AD225" s="322"/>
      <c r="AE225" s="323">
        <f t="shared" si="72"/>
        <v>0</v>
      </c>
      <c r="AF225" s="638">
        <f t="shared" si="82"/>
        <v>0</v>
      </c>
      <c r="AG225" s="322"/>
      <c r="AH225" s="90">
        <f t="shared" si="73"/>
        <v>0</v>
      </c>
      <c r="AI225" s="80">
        <f t="shared" si="74"/>
        <v>0</v>
      </c>
      <c r="AJ225" s="638">
        <f t="shared" si="83"/>
        <v>0</v>
      </c>
      <c r="AK225" s="322"/>
      <c r="AL225" s="80">
        <f t="shared" si="75"/>
        <v>0</v>
      </c>
      <c r="AM225" s="79">
        <v>0</v>
      </c>
      <c r="AN225" s="322"/>
      <c r="AO225" s="79">
        <v>0</v>
      </c>
      <c r="AP225" s="322"/>
      <c r="AQ225" s="79">
        <v>0</v>
      </c>
      <c r="AR225" s="322"/>
      <c r="AS225" s="79">
        <v>0</v>
      </c>
      <c r="AT225" s="322"/>
      <c r="AU225" s="325">
        <f t="shared" si="76"/>
        <v>0</v>
      </c>
      <c r="AV225" s="90">
        <f t="shared" si="86"/>
        <v>0</v>
      </c>
      <c r="AW225" s="324">
        <f t="shared" si="77"/>
        <v>0</v>
      </c>
      <c r="AX225" s="80">
        <f t="shared" si="87"/>
        <v>0</v>
      </c>
      <c r="AY225" s="326">
        <f t="shared" si="78"/>
        <v>4719.9666666666662</v>
      </c>
      <c r="AZ225" s="80">
        <f t="shared" si="79"/>
        <v>5085.7666666666664</v>
      </c>
    </row>
    <row r="226" spans="1:52" s="96" customFormat="1">
      <c r="A226" s="194" t="s">
        <v>903</v>
      </c>
      <c r="B226" s="194" t="s">
        <v>920</v>
      </c>
      <c r="C226" s="225">
        <v>158431</v>
      </c>
      <c r="D226" s="196">
        <v>9</v>
      </c>
      <c r="E226" s="162" t="s">
        <v>442</v>
      </c>
      <c r="F226" s="163" t="s">
        <v>442</v>
      </c>
      <c r="G226" s="79">
        <v>0</v>
      </c>
      <c r="H226" s="322"/>
      <c r="I226" s="79">
        <v>45601</v>
      </c>
      <c r="J226" s="349">
        <v>47034</v>
      </c>
      <c r="K226" s="79">
        <v>9200</v>
      </c>
      <c r="L226" s="349">
        <v>9739</v>
      </c>
      <c r="M226" s="79">
        <v>50615</v>
      </c>
      <c r="N226" s="349">
        <v>48050</v>
      </c>
      <c r="O226" s="323">
        <f t="shared" si="70"/>
        <v>105416</v>
      </c>
      <c r="P226" s="638">
        <f t="shared" si="80"/>
        <v>105416</v>
      </c>
      <c r="Q226" s="534">
        <v>2395</v>
      </c>
      <c r="R226" s="90">
        <f t="shared" si="84"/>
        <v>3513.8666666666668</v>
      </c>
      <c r="S226" s="324">
        <f t="shared" si="71"/>
        <v>104823</v>
      </c>
      <c r="T226" s="638">
        <f t="shared" si="81"/>
        <v>104823</v>
      </c>
      <c r="U226" s="534">
        <v>3041</v>
      </c>
      <c r="V226" s="80">
        <f t="shared" si="85"/>
        <v>3494.1</v>
      </c>
      <c r="W226" s="79"/>
      <c r="X226" s="322"/>
      <c r="Y226" s="79"/>
      <c r="Z226" s="322"/>
      <c r="AA226" s="79"/>
      <c r="AB226" s="322"/>
      <c r="AC226" s="79"/>
      <c r="AD226" s="322"/>
      <c r="AE226" s="323">
        <f t="shared" si="72"/>
        <v>0</v>
      </c>
      <c r="AF226" s="638">
        <f t="shared" si="82"/>
        <v>0</v>
      </c>
      <c r="AG226" s="322"/>
      <c r="AH226" s="90">
        <f t="shared" si="73"/>
        <v>0</v>
      </c>
      <c r="AI226" s="80">
        <f t="shared" si="74"/>
        <v>0</v>
      </c>
      <c r="AJ226" s="638">
        <f t="shared" si="83"/>
        <v>0</v>
      </c>
      <c r="AK226" s="322"/>
      <c r="AL226" s="80">
        <f t="shared" si="75"/>
        <v>0</v>
      </c>
      <c r="AM226" s="79">
        <v>0</v>
      </c>
      <c r="AN226" s="322"/>
      <c r="AO226" s="79">
        <v>0</v>
      </c>
      <c r="AP226" s="322"/>
      <c r="AQ226" s="79">
        <v>0</v>
      </c>
      <c r="AR226" s="322"/>
      <c r="AS226" s="79">
        <v>0</v>
      </c>
      <c r="AT226" s="322"/>
      <c r="AU226" s="325">
        <f t="shared" si="76"/>
        <v>0</v>
      </c>
      <c r="AV226" s="90">
        <f t="shared" si="86"/>
        <v>0</v>
      </c>
      <c r="AW226" s="324">
        <f t="shared" si="77"/>
        <v>0</v>
      </c>
      <c r="AX226" s="80">
        <f t="shared" si="87"/>
        <v>0</v>
      </c>
      <c r="AY226" s="326">
        <f t="shared" si="78"/>
        <v>3513.8666666666668</v>
      </c>
      <c r="AZ226" s="80">
        <f t="shared" si="79"/>
        <v>3494.1</v>
      </c>
    </row>
    <row r="227" spans="1:52" s="96" customFormat="1">
      <c r="A227" s="194" t="s">
        <v>903</v>
      </c>
      <c r="B227" s="194" t="s">
        <v>921</v>
      </c>
      <c r="C227" s="225">
        <v>159407</v>
      </c>
      <c r="D227" s="196">
        <v>9</v>
      </c>
      <c r="E227" s="162" t="s">
        <v>442</v>
      </c>
      <c r="F227" s="163" t="s">
        <v>442</v>
      </c>
      <c r="G227" s="79">
        <v>0</v>
      </c>
      <c r="H227" s="322"/>
      <c r="I227" s="79">
        <v>26113</v>
      </c>
      <c r="J227" s="349">
        <v>26706</v>
      </c>
      <c r="K227" s="79">
        <v>4615</v>
      </c>
      <c r="L227" s="349">
        <v>4433</v>
      </c>
      <c r="M227" s="79">
        <v>29056</v>
      </c>
      <c r="N227" s="349">
        <v>29855</v>
      </c>
      <c r="O227" s="323">
        <f t="shared" si="70"/>
        <v>59784</v>
      </c>
      <c r="P227" s="638">
        <f t="shared" si="80"/>
        <v>59784</v>
      </c>
      <c r="Q227" s="534">
        <v>1598</v>
      </c>
      <c r="R227" s="90">
        <f t="shared" si="84"/>
        <v>1992.8</v>
      </c>
      <c r="S227" s="324">
        <f t="shared" si="71"/>
        <v>60994</v>
      </c>
      <c r="T227" s="638">
        <f t="shared" si="81"/>
        <v>60994</v>
      </c>
      <c r="U227" s="534">
        <v>3078</v>
      </c>
      <c r="V227" s="80">
        <f t="shared" si="85"/>
        <v>2033.1333333333334</v>
      </c>
      <c r="W227" s="79"/>
      <c r="X227" s="322"/>
      <c r="Y227" s="79"/>
      <c r="Z227" s="322"/>
      <c r="AA227" s="79"/>
      <c r="AB227" s="322"/>
      <c r="AC227" s="79"/>
      <c r="AD227" s="322"/>
      <c r="AE227" s="323">
        <f t="shared" si="72"/>
        <v>0</v>
      </c>
      <c r="AF227" s="638">
        <f t="shared" si="82"/>
        <v>0</v>
      </c>
      <c r="AG227" s="322"/>
      <c r="AH227" s="90">
        <f t="shared" si="73"/>
        <v>0</v>
      </c>
      <c r="AI227" s="80">
        <f t="shared" si="74"/>
        <v>0</v>
      </c>
      <c r="AJ227" s="638">
        <f t="shared" si="83"/>
        <v>0</v>
      </c>
      <c r="AK227" s="322"/>
      <c r="AL227" s="80">
        <f t="shared" si="75"/>
        <v>0</v>
      </c>
      <c r="AM227" s="79">
        <v>0</v>
      </c>
      <c r="AN227" s="322"/>
      <c r="AO227" s="79">
        <v>0</v>
      </c>
      <c r="AP227" s="322"/>
      <c r="AQ227" s="79">
        <v>0</v>
      </c>
      <c r="AR227" s="322"/>
      <c r="AS227" s="79">
        <v>0</v>
      </c>
      <c r="AT227" s="322"/>
      <c r="AU227" s="325">
        <f t="shared" si="76"/>
        <v>0</v>
      </c>
      <c r="AV227" s="90">
        <f t="shared" si="86"/>
        <v>0</v>
      </c>
      <c r="AW227" s="324">
        <f t="shared" si="77"/>
        <v>0</v>
      </c>
      <c r="AX227" s="80">
        <f t="shared" si="87"/>
        <v>0</v>
      </c>
      <c r="AY227" s="326">
        <f t="shared" si="78"/>
        <v>1992.8</v>
      </c>
      <c r="AZ227" s="80">
        <f t="shared" si="79"/>
        <v>2033.1333333333334</v>
      </c>
    </row>
    <row r="228" spans="1:52" s="96" customFormat="1">
      <c r="A228" s="341" t="s">
        <v>903</v>
      </c>
      <c r="B228" s="341" t="s">
        <v>922</v>
      </c>
      <c r="C228" s="226">
        <v>440624</v>
      </c>
      <c r="D228" s="196">
        <v>10</v>
      </c>
      <c r="E228" s="162" t="s">
        <v>442</v>
      </c>
      <c r="F228" s="163" t="s">
        <v>442</v>
      </c>
      <c r="G228" s="79">
        <v>0</v>
      </c>
      <c r="H228" s="322"/>
      <c r="I228" s="79">
        <v>9745</v>
      </c>
      <c r="J228" s="349">
        <v>11696</v>
      </c>
      <c r="K228" s="79">
        <v>3219</v>
      </c>
      <c r="L228" s="349">
        <v>2995</v>
      </c>
      <c r="M228" s="79">
        <v>12127</v>
      </c>
      <c r="N228" s="349">
        <v>15431</v>
      </c>
      <c r="O228" s="323">
        <f t="shared" si="70"/>
        <v>25091</v>
      </c>
      <c r="P228" s="638">
        <f t="shared" si="80"/>
        <v>25091</v>
      </c>
      <c r="Q228" s="534">
        <v>2057</v>
      </c>
      <c r="R228" s="90">
        <f t="shared" si="84"/>
        <v>836.36666666666667</v>
      </c>
      <c r="S228" s="324">
        <f t="shared" si="71"/>
        <v>30122</v>
      </c>
      <c r="T228" s="638">
        <f t="shared" si="81"/>
        <v>30122</v>
      </c>
      <c r="U228" s="534">
        <v>2684</v>
      </c>
      <c r="V228" s="80">
        <f t="shared" si="85"/>
        <v>1004.0666666666667</v>
      </c>
      <c r="W228" s="79"/>
      <c r="X228" s="322"/>
      <c r="Y228" s="79"/>
      <c r="Z228" s="322"/>
      <c r="AA228" s="79"/>
      <c r="AB228" s="322"/>
      <c r="AC228" s="79"/>
      <c r="AD228" s="322"/>
      <c r="AE228" s="323">
        <f t="shared" si="72"/>
        <v>0</v>
      </c>
      <c r="AF228" s="638">
        <f t="shared" si="82"/>
        <v>0</v>
      </c>
      <c r="AG228" s="322"/>
      <c r="AH228" s="90">
        <f t="shared" si="73"/>
        <v>0</v>
      </c>
      <c r="AI228" s="80">
        <f t="shared" si="74"/>
        <v>0</v>
      </c>
      <c r="AJ228" s="638">
        <f t="shared" si="83"/>
        <v>0</v>
      </c>
      <c r="AK228" s="322"/>
      <c r="AL228" s="80">
        <f t="shared" si="75"/>
        <v>0</v>
      </c>
      <c r="AM228" s="79">
        <v>0</v>
      </c>
      <c r="AN228" s="322"/>
      <c r="AO228" s="79">
        <v>0</v>
      </c>
      <c r="AP228" s="322"/>
      <c r="AQ228" s="79">
        <v>0</v>
      </c>
      <c r="AR228" s="322"/>
      <c r="AS228" s="79">
        <v>0</v>
      </c>
      <c r="AT228" s="322"/>
      <c r="AU228" s="325">
        <f t="shared" si="76"/>
        <v>0</v>
      </c>
      <c r="AV228" s="90">
        <f t="shared" si="86"/>
        <v>0</v>
      </c>
      <c r="AW228" s="324">
        <f t="shared" si="77"/>
        <v>0</v>
      </c>
      <c r="AX228" s="80">
        <f t="shared" si="87"/>
        <v>0</v>
      </c>
      <c r="AY228" s="326">
        <f t="shared" si="78"/>
        <v>836.36666666666667</v>
      </c>
      <c r="AZ228" s="80">
        <f t="shared" si="79"/>
        <v>1004.0666666666667</v>
      </c>
    </row>
    <row r="229" spans="1:52" s="96" customFormat="1">
      <c r="A229" s="194" t="s">
        <v>903</v>
      </c>
      <c r="B229" s="194" t="s">
        <v>923</v>
      </c>
      <c r="C229" s="225">
        <v>158884</v>
      </c>
      <c r="D229" s="196">
        <v>10</v>
      </c>
      <c r="E229" s="162" t="s">
        <v>442</v>
      </c>
      <c r="F229" s="163" t="s">
        <v>442</v>
      </c>
      <c r="G229" s="79">
        <v>0</v>
      </c>
      <c r="H229" s="322"/>
      <c r="I229" s="79">
        <v>10389</v>
      </c>
      <c r="J229" s="349">
        <v>11991</v>
      </c>
      <c r="K229" s="79">
        <v>2502</v>
      </c>
      <c r="L229" s="349">
        <v>3204</v>
      </c>
      <c r="M229" s="79">
        <v>11876</v>
      </c>
      <c r="N229" s="349">
        <v>14004</v>
      </c>
      <c r="O229" s="323">
        <f t="shared" si="70"/>
        <v>24767</v>
      </c>
      <c r="P229" s="638">
        <f t="shared" si="80"/>
        <v>24767</v>
      </c>
      <c r="Q229" s="534">
        <v>2682</v>
      </c>
      <c r="R229" s="90">
        <f t="shared" si="84"/>
        <v>825.56666666666672</v>
      </c>
      <c r="S229" s="324">
        <f t="shared" si="71"/>
        <v>29199</v>
      </c>
      <c r="T229" s="638">
        <f t="shared" si="81"/>
        <v>29199</v>
      </c>
      <c r="U229" s="534">
        <v>4014</v>
      </c>
      <c r="V229" s="80">
        <f t="shared" si="85"/>
        <v>973.3</v>
      </c>
      <c r="W229" s="79"/>
      <c r="X229" s="322"/>
      <c r="Y229" s="79"/>
      <c r="Z229" s="322"/>
      <c r="AA229" s="79"/>
      <c r="AB229" s="322"/>
      <c r="AC229" s="79"/>
      <c r="AD229" s="322"/>
      <c r="AE229" s="323">
        <f t="shared" si="72"/>
        <v>0</v>
      </c>
      <c r="AF229" s="638">
        <f t="shared" si="82"/>
        <v>0</v>
      </c>
      <c r="AG229" s="322"/>
      <c r="AH229" s="90">
        <f t="shared" si="73"/>
        <v>0</v>
      </c>
      <c r="AI229" s="80">
        <f t="shared" si="74"/>
        <v>0</v>
      </c>
      <c r="AJ229" s="638">
        <f t="shared" si="83"/>
        <v>0</v>
      </c>
      <c r="AK229" s="322"/>
      <c r="AL229" s="80">
        <f t="shared" si="75"/>
        <v>0</v>
      </c>
      <c r="AM229" s="79">
        <v>0</v>
      </c>
      <c r="AN229" s="322"/>
      <c r="AO229" s="79">
        <v>0</v>
      </c>
      <c r="AP229" s="322"/>
      <c r="AQ229" s="79">
        <v>0</v>
      </c>
      <c r="AR229" s="322"/>
      <c r="AS229" s="79">
        <v>0</v>
      </c>
      <c r="AT229" s="322"/>
      <c r="AU229" s="325">
        <f t="shared" si="76"/>
        <v>0</v>
      </c>
      <c r="AV229" s="90">
        <f t="shared" si="86"/>
        <v>0</v>
      </c>
      <c r="AW229" s="324">
        <f t="shared" si="77"/>
        <v>0</v>
      </c>
      <c r="AX229" s="80">
        <f t="shared" si="87"/>
        <v>0</v>
      </c>
      <c r="AY229" s="326">
        <f t="shared" si="78"/>
        <v>825.56666666666672</v>
      </c>
      <c r="AZ229" s="80">
        <f t="shared" si="79"/>
        <v>973.3</v>
      </c>
    </row>
    <row r="230" spans="1:52" s="96" customFormat="1">
      <c r="A230" s="194" t="s">
        <v>903</v>
      </c>
      <c r="B230" s="194" t="s">
        <v>924</v>
      </c>
      <c r="C230" s="225">
        <v>436304</v>
      </c>
      <c r="D230" s="196">
        <v>10</v>
      </c>
      <c r="E230" s="162" t="s">
        <v>442</v>
      </c>
      <c r="F230" s="163" t="s">
        <v>442</v>
      </c>
      <c r="G230" s="79">
        <v>0</v>
      </c>
      <c r="H230" s="322"/>
      <c r="I230" s="79">
        <v>8637</v>
      </c>
      <c r="J230" s="349">
        <v>8835</v>
      </c>
      <c r="K230" s="79">
        <v>1555</v>
      </c>
      <c r="L230" s="349">
        <v>1698</v>
      </c>
      <c r="M230" s="79">
        <v>9389</v>
      </c>
      <c r="N230" s="349">
        <v>11227</v>
      </c>
      <c r="O230" s="323">
        <f t="shared" si="70"/>
        <v>19581</v>
      </c>
      <c r="P230" s="638">
        <f t="shared" si="80"/>
        <v>19581</v>
      </c>
      <c r="Q230" s="534">
        <v>789</v>
      </c>
      <c r="R230" s="90">
        <f t="shared" si="84"/>
        <v>652.70000000000005</v>
      </c>
      <c r="S230" s="324">
        <f t="shared" si="71"/>
        <v>21760</v>
      </c>
      <c r="T230" s="638">
        <f t="shared" si="81"/>
        <v>21760</v>
      </c>
      <c r="U230" s="534">
        <v>1567</v>
      </c>
      <c r="V230" s="80">
        <f t="shared" si="85"/>
        <v>725.33333333333337</v>
      </c>
      <c r="W230" s="79"/>
      <c r="X230" s="322"/>
      <c r="Y230" s="79"/>
      <c r="Z230" s="322"/>
      <c r="AA230" s="79"/>
      <c r="AB230" s="322"/>
      <c r="AC230" s="79"/>
      <c r="AD230" s="322"/>
      <c r="AE230" s="323">
        <f t="shared" si="72"/>
        <v>0</v>
      </c>
      <c r="AF230" s="638">
        <f t="shared" si="82"/>
        <v>0</v>
      </c>
      <c r="AG230" s="322"/>
      <c r="AH230" s="90">
        <f t="shared" si="73"/>
        <v>0</v>
      </c>
      <c r="AI230" s="80">
        <f t="shared" si="74"/>
        <v>0</v>
      </c>
      <c r="AJ230" s="638">
        <f t="shared" si="83"/>
        <v>0</v>
      </c>
      <c r="AK230" s="322"/>
      <c r="AL230" s="80">
        <f t="shared" si="75"/>
        <v>0</v>
      </c>
      <c r="AM230" s="79">
        <v>0</v>
      </c>
      <c r="AN230" s="322"/>
      <c r="AO230" s="79">
        <v>0</v>
      </c>
      <c r="AP230" s="322"/>
      <c r="AQ230" s="79">
        <v>0</v>
      </c>
      <c r="AR230" s="322"/>
      <c r="AS230" s="79">
        <v>0</v>
      </c>
      <c r="AT230" s="322"/>
      <c r="AU230" s="325">
        <f t="shared" si="76"/>
        <v>0</v>
      </c>
      <c r="AV230" s="90">
        <f t="shared" si="86"/>
        <v>0</v>
      </c>
      <c r="AW230" s="324">
        <f t="shared" si="77"/>
        <v>0</v>
      </c>
      <c r="AX230" s="80">
        <f t="shared" si="87"/>
        <v>0</v>
      </c>
      <c r="AY230" s="326">
        <f t="shared" si="78"/>
        <v>652.70000000000005</v>
      </c>
      <c r="AZ230" s="80">
        <f t="shared" si="79"/>
        <v>725.33333333333337</v>
      </c>
    </row>
    <row r="231" spans="1:52" s="96" customFormat="1">
      <c r="A231" s="194" t="s">
        <v>903</v>
      </c>
      <c r="B231" s="194" t="s">
        <v>925</v>
      </c>
      <c r="C231" s="225">
        <v>434061</v>
      </c>
      <c r="D231" s="196">
        <v>10</v>
      </c>
      <c r="E231" s="162" t="s">
        <v>442</v>
      </c>
      <c r="F231" s="163" t="s">
        <v>442</v>
      </c>
      <c r="G231" s="79">
        <v>0</v>
      </c>
      <c r="H231" s="322"/>
      <c r="I231" s="79">
        <v>21214</v>
      </c>
      <c r="J231" s="349">
        <v>26543</v>
      </c>
      <c r="K231" s="79">
        <v>4814</v>
      </c>
      <c r="L231" s="349">
        <v>6601</v>
      </c>
      <c r="M231" s="79">
        <v>25057</v>
      </c>
      <c r="N231" s="349">
        <v>29724</v>
      </c>
      <c r="O231" s="323">
        <f t="shared" si="70"/>
        <v>51085</v>
      </c>
      <c r="P231" s="638">
        <f t="shared" si="80"/>
        <v>51085</v>
      </c>
      <c r="Q231" s="534">
        <v>3460</v>
      </c>
      <c r="R231" s="90">
        <f t="shared" si="84"/>
        <v>1702.8333333333333</v>
      </c>
      <c r="S231" s="324">
        <f t="shared" si="71"/>
        <v>62868</v>
      </c>
      <c r="T231" s="638">
        <f t="shared" si="81"/>
        <v>62868</v>
      </c>
      <c r="U231" s="534">
        <v>4055</v>
      </c>
      <c r="V231" s="80">
        <f t="shared" si="85"/>
        <v>2095.6</v>
      </c>
      <c r="W231" s="79"/>
      <c r="X231" s="322"/>
      <c r="Y231" s="79"/>
      <c r="Z231" s="322"/>
      <c r="AA231" s="79"/>
      <c r="AB231" s="322"/>
      <c r="AC231" s="79"/>
      <c r="AD231" s="322"/>
      <c r="AE231" s="323">
        <f t="shared" si="72"/>
        <v>0</v>
      </c>
      <c r="AF231" s="638">
        <f t="shared" si="82"/>
        <v>0</v>
      </c>
      <c r="AG231" s="322"/>
      <c r="AH231" s="90">
        <f t="shared" si="73"/>
        <v>0</v>
      </c>
      <c r="AI231" s="80">
        <f t="shared" si="74"/>
        <v>0</v>
      </c>
      <c r="AJ231" s="638">
        <f t="shared" si="83"/>
        <v>0</v>
      </c>
      <c r="AK231" s="322"/>
      <c r="AL231" s="80">
        <f t="shared" si="75"/>
        <v>0</v>
      </c>
      <c r="AM231" s="79">
        <v>0</v>
      </c>
      <c r="AN231" s="322"/>
      <c r="AO231" s="79">
        <v>0</v>
      </c>
      <c r="AP231" s="322"/>
      <c r="AQ231" s="79">
        <v>0</v>
      </c>
      <c r="AR231" s="322"/>
      <c r="AS231" s="79">
        <v>0</v>
      </c>
      <c r="AT231" s="322"/>
      <c r="AU231" s="325">
        <f t="shared" si="76"/>
        <v>0</v>
      </c>
      <c r="AV231" s="90">
        <f t="shared" si="86"/>
        <v>0</v>
      </c>
      <c r="AW231" s="324">
        <f t="shared" si="77"/>
        <v>0</v>
      </c>
      <c r="AX231" s="80">
        <f t="shared" si="87"/>
        <v>0</v>
      </c>
      <c r="AY231" s="326">
        <f t="shared" si="78"/>
        <v>1702.8333333333333</v>
      </c>
      <c r="AZ231" s="80">
        <f t="shared" si="79"/>
        <v>2095.6</v>
      </c>
    </row>
    <row r="232" spans="1:52" s="96" customFormat="1">
      <c r="A232" s="194" t="s">
        <v>903</v>
      </c>
      <c r="B232" s="194" t="s">
        <v>926</v>
      </c>
      <c r="C232" s="225">
        <v>160649</v>
      </c>
      <c r="D232" s="196">
        <v>10</v>
      </c>
      <c r="E232" s="162" t="s">
        <v>442</v>
      </c>
      <c r="F232" s="163" t="s">
        <v>442</v>
      </c>
      <c r="G232" s="79">
        <v>0</v>
      </c>
      <c r="H232" s="322"/>
      <c r="I232" s="79">
        <v>24955</v>
      </c>
      <c r="J232" s="349">
        <v>23871</v>
      </c>
      <c r="K232" s="79">
        <v>7064</v>
      </c>
      <c r="L232" s="349">
        <v>7417</v>
      </c>
      <c r="M232" s="79">
        <v>24185</v>
      </c>
      <c r="N232" s="349">
        <v>25175</v>
      </c>
      <c r="O232" s="323">
        <f t="shared" si="70"/>
        <v>56204</v>
      </c>
      <c r="P232" s="638">
        <f t="shared" si="80"/>
        <v>56204</v>
      </c>
      <c r="Q232" s="534">
        <v>2868</v>
      </c>
      <c r="R232" s="90">
        <f t="shared" si="84"/>
        <v>1873.4666666666667</v>
      </c>
      <c r="S232" s="324">
        <f t="shared" si="71"/>
        <v>56463</v>
      </c>
      <c r="T232" s="638">
        <f t="shared" si="81"/>
        <v>56463</v>
      </c>
      <c r="U232" s="534">
        <v>2614</v>
      </c>
      <c r="V232" s="80">
        <f t="shared" si="85"/>
        <v>1882.1</v>
      </c>
      <c r="W232" s="79"/>
      <c r="X232" s="322"/>
      <c r="Y232" s="79"/>
      <c r="Z232" s="322"/>
      <c r="AA232" s="79"/>
      <c r="AB232" s="322"/>
      <c r="AC232" s="79"/>
      <c r="AD232" s="322"/>
      <c r="AE232" s="323">
        <f t="shared" si="72"/>
        <v>0</v>
      </c>
      <c r="AF232" s="638">
        <f t="shared" si="82"/>
        <v>0</v>
      </c>
      <c r="AG232" s="322"/>
      <c r="AH232" s="90">
        <f t="shared" si="73"/>
        <v>0</v>
      </c>
      <c r="AI232" s="80">
        <f t="shared" si="74"/>
        <v>0</v>
      </c>
      <c r="AJ232" s="638">
        <f t="shared" si="83"/>
        <v>0</v>
      </c>
      <c r="AK232" s="322"/>
      <c r="AL232" s="80">
        <f t="shared" si="75"/>
        <v>0</v>
      </c>
      <c r="AM232" s="79">
        <v>0</v>
      </c>
      <c r="AN232" s="322"/>
      <c r="AO232" s="79">
        <v>0</v>
      </c>
      <c r="AP232" s="322"/>
      <c r="AQ232" s="79">
        <v>0</v>
      </c>
      <c r="AR232" s="322"/>
      <c r="AS232" s="79">
        <v>0</v>
      </c>
      <c r="AT232" s="322"/>
      <c r="AU232" s="325">
        <f t="shared" si="76"/>
        <v>0</v>
      </c>
      <c r="AV232" s="90">
        <f t="shared" si="86"/>
        <v>0</v>
      </c>
      <c r="AW232" s="324">
        <f t="shared" si="77"/>
        <v>0</v>
      </c>
      <c r="AX232" s="80">
        <f t="shared" si="87"/>
        <v>0</v>
      </c>
      <c r="AY232" s="326">
        <f t="shared" si="78"/>
        <v>1873.4666666666667</v>
      </c>
      <c r="AZ232" s="80">
        <f t="shared" si="79"/>
        <v>1882.1</v>
      </c>
    </row>
    <row r="233" spans="1:52" s="96" customFormat="1">
      <c r="A233" s="194" t="s">
        <v>903</v>
      </c>
      <c r="B233" s="341" t="s">
        <v>927</v>
      </c>
      <c r="C233" s="225">
        <v>160579</v>
      </c>
      <c r="D233" s="196">
        <v>12</v>
      </c>
      <c r="E233" s="162" t="s">
        <v>442</v>
      </c>
      <c r="F233" s="163" t="s">
        <v>442</v>
      </c>
      <c r="G233" s="79">
        <v>0</v>
      </c>
      <c r="H233" s="322"/>
      <c r="I233" s="79">
        <v>17431</v>
      </c>
      <c r="J233" s="349">
        <v>17967</v>
      </c>
      <c r="K233" s="79">
        <v>6618</v>
      </c>
      <c r="L233" s="349">
        <v>5384</v>
      </c>
      <c r="M233" s="79">
        <v>18180</v>
      </c>
      <c r="N233" s="349">
        <v>20402</v>
      </c>
      <c r="O233" s="323">
        <f t="shared" si="70"/>
        <v>42229</v>
      </c>
      <c r="P233" s="638">
        <f t="shared" si="80"/>
        <v>42229</v>
      </c>
      <c r="Q233" s="534">
        <v>987</v>
      </c>
      <c r="R233" s="90">
        <f t="shared" si="84"/>
        <v>1407.6333333333334</v>
      </c>
      <c r="S233" s="324">
        <f t="shared" si="71"/>
        <v>43753</v>
      </c>
      <c r="T233" s="638">
        <f t="shared" si="81"/>
        <v>43753</v>
      </c>
      <c r="U233" s="534">
        <v>859</v>
      </c>
      <c r="V233" s="80">
        <f t="shared" si="85"/>
        <v>1458.4333333333334</v>
      </c>
      <c r="W233" s="79"/>
      <c r="X233" s="322"/>
      <c r="Y233" s="79"/>
      <c r="Z233" s="322"/>
      <c r="AA233" s="79"/>
      <c r="AB233" s="322"/>
      <c r="AC233" s="79"/>
      <c r="AD233" s="322"/>
      <c r="AE233" s="323">
        <f t="shared" si="72"/>
        <v>0</v>
      </c>
      <c r="AF233" s="638">
        <f t="shared" si="82"/>
        <v>0</v>
      </c>
      <c r="AG233" s="322"/>
      <c r="AH233" s="90">
        <f t="shared" si="73"/>
        <v>0</v>
      </c>
      <c r="AI233" s="80">
        <f t="shared" si="74"/>
        <v>0</v>
      </c>
      <c r="AJ233" s="638">
        <f t="shared" si="83"/>
        <v>0</v>
      </c>
      <c r="AK233" s="322"/>
      <c r="AL233" s="80">
        <f t="shared" si="75"/>
        <v>0</v>
      </c>
      <c r="AM233" s="79">
        <v>0</v>
      </c>
      <c r="AN233" s="322"/>
      <c r="AO233" s="79">
        <v>0</v>
      </c>
      <c r="AP233" s="322"/>
      <c r="AQ233" s="79">
        <v>0</v>
      </c>
      <c r="AR233" s="322"/>
      <c r="AS233" s="79">
        <v>0</v>
      </c>
      <c r="AT233" s="322"/>
      <c r="AU233" s="325">
        <f t="shared" si="76"/>
        <v>0</v>
      </c>
      <c r="AV233" s="90">
        <f t="shared" si="86"/>
        <v>0</v>
      </c>
      <c r="AW233" s="324">
        <f t="shared" si="77"/>
        <v>0</v>
      </c>
      <c r="AX233" s="80">
        <f t="shared" si="87"/>
        <v>0</v>
      </c>
      <c r="AY233" s="326">
        <f t="shared" si="78"/>
        <v>1407.6333333333334</v>
      </c>
      <c r="AZ233" s="80">
        <f t="shared" si="79"/>
        <v>1458.4333333333334</v>
      </c>
    </row>
    <row r="234" spans="1:52" s="96" customFormat="1">
      <c r="A234" s="194" t="s">
        <v>903</v>
      </c>
      <c r="B234" s="341" t="s">
        <v>928</v>
      </c>
      <c r="C234" s="225">
        <v>160481</v>
      </c>
      <c r="D234" s="196">
        <v>13</v>
      </c>
      <c r="E234" s="162" t="s">
        <v>442</v>
      </c>
      <c r="F234" s="163" t="s">
        <v>442</v>
      </c>
      <c r="G234" s="79">
        <v>0</v>
      </c>
      <c r="H234" s="322"/>
      <c r="I234" s="79">
        <v>9470</v>
      </c>
      <c r="J234" s="349">
        <v>10852</v>
      </c>
      <c r="K234" s="79">
        <v>2600</v>
      </c>
      <c r="L234" s="349">
        <v>2984.5</v>
      </c>
      <c r="M234" s="79">
        <v>11604.5</v>
      </c>
      <c r="N234" s="349">
        <v>13800</v>
      </c>
      <c r="O234" s="323">
        <f t="shared" si="70"/>
        <v>23674.5</v>
      </c>
      <c r="P234" s="638">
        <f t="shared" si="80"/>
        <v>23674.5</v>
      </c>
      <c r="Q234" s="534">
        <v>744</v>
      </c>
      <c r="R234" s="90">
        <f t="shared" si="84"/>
        <v>789.15</v>
      </c>
      <c r="S234" s="324">
        <f t="shared" si="71"/>
        <v>27636.5</v>
      </c>
      <c r="T234" s="638">
        <f t="shared" si="81"/>
        <v>27636.5</v>
      </c>
      <c r="U234" s="534">
        <v>1116</v>
      </c>
      <c r="V234" s="80">
        <f t="shared" si="85"/>
        <v>921.2166666666667</v>
      </c>
      <c r="W234" s="79">
        <v>0</v>
      </c>
      <c r="X234" s="322"/>
      <c r="Y234" s="79">
        <v>23389</v>
      </c>
      <c r="Z234" s="322">
        <v>5836</v>
      </c>
      <c r="AA234" s="79">
        <v>6564</v>
      </c>
      <c r="AB234" s="322">
        <v>4371</v>
      </c>
      <c r="AC234" s="79">
        <v>26209</v>
      </c>
      <c r="AD234" s="322">
        <v>11481</v>
      </c>
      <c r="AE234" s="323">
        <f t="shared" si="72"/>
        <v>56162</v>
      </c>
      <c r="AF234" s="638">
        <f t="shared" si="82"/>
        <v>56162</v>
      </c>
      <c r="AG234" s="322"/>
      <c r="AH234" s="90">
        <f t="shared" si="73"/>
        <v>62.402222222222221</v>
      </c>
      <c r="AI234" s="80">
        <f t="shared" si="74"/>
        <v>21688</v>
      </c>
      <c r="AJ234" s="638">
        <f t="shared" si="83"/>
        <v>21688</v>
      </c>
      <c r="AK234" s="322"/>
      <c r="AL234" s="80">
        <f t="shared" si="75"/>
        <v>24.097777777777779</v>
      </c>
      <c r="AM234" s="79">
        <v>0</v>
      </c>
      <c r="AN234" s="322"/>
      <c r="AO234" s="79">
        <v>0</v>
      </c>
      <c r="AP234" s="322"/>
      <c r="AQ234" s="79">
        <v>0</v>
      </c>
      <c r="AR234" s="322"/>
      <c r="AS234" s="79">
        <v>0</v>
      </c>
      <c r="AT234" s="322"/>
      <c r="AU234" s="325">
        <f t="shared" si="76"/>
        <v>0</v>
      </c>
      <c r="AV234" s="90">
        <f t="shared" si="86"/>
        <v>0</v>
      </c>
      <c r="AW234" s="324">
        <f t="shared" si="77"/>
        <v>0</v>
      </c>
      <c r="AX234" s="80">
        <f t="shared" si="87"/>
        <v>0</v>
      </c>
      <c r="AY234" s="326">
        <f t="shared" si="78"/>
        <v>851.55222222222221</v>
      </c>
      <c r="AZ234" s="80">
        <f t="shared" si="79"/>
        <v>945.31444444444446</v>
      </c>
    </row>
    <row r="235" spans="1:52" s="96" customFormat="1">
      <c r="A235" s="194" t="s">
        <v>903</v>
      </c>
      <c r="B235" s="194" t="s">
        <v>50</v>
      </c>
      <c r="C235" s="225"/>
      <c r="D235" s="196">
        <v>14</v>
      </c>
      <c r="E235" s="162" t="s">
        <v>442</v>
      </c>
      <c r="F235" s="163" t="s">
        <v>442</v>
      </c>
      <c r="G235" s="79">
        <v>0</v>
      </c>
      <c r="H235" s="322"/>
      <c r="I235" s="79">
        <v>159069</v>
      </c>
      <c r="J235" s="349">
        <v>172619</v>
      </c>
      <c r="K235" s="79">
        <v>58999</v>
      </c>
      <c r="L235" s="349">
        <v>61249</v>
      </c>
      <c r="M235" s="79">
        <v>171758</v>
      </c>
      <c r="N235" s="349">
        <v>188692.5</v>
      </c>
      <c r="O235" s="323">
        <f>SUM(G235,I235,K235,M235)</f>
        <v>389826</v>
      </c>
      <c r="P235" s="638">
        <f t="shared" si="80"/>
        <v>389826</v>
      </c>
      <c r="Q235" s="534">
        <v>35050</v>
      </c>
      <c r="R235" s="90">
        <f>+O235/30</f>
        <v>12994.2</v>
      </c>
      <c r="S235" s="324">
        <f>SUM(H235,J235,L235,N235)</f>
        <v>422560.5</v>
      </c>
      <c r="T235" s="638">
        <f t="shared" si="81"/>
        <v>422560.5</v>
      </c>
      <c r="U235" s="534">
        <v>62615</v>
      </c>
      <c r="V235" s="80">
        <f>+S235/30</f>
        <v>14085.35</v>
      </c>
      <c r="W235" s="79">
        <v>0</v>
      </c>
      <c r="X235" s="322"/>
      <c r="Y235" s="79">
        <v>40616</v>
      </c>
      <c r="Z235" s="322">
        <v>36936.5</v>
      </c>
      <c r="AA235" s="79">
        <v>23746</v>
      </c>
      <c r="AB235" s="322">
        <v>20692</v>
      </c>
      <c r="AC235" s="79">
        <v>31490</v>
      </c>
      <c r="AD235" s="322">
        <v>30920</v>
      </c>
      <c r="AE235" s="323">
        <f>SUM(W235,Y235,AA235,AC235)</f>
        <v>95852</v>
      </c>
      <c r="AF235" s="638">
        <f t="shared" si="82"/>
        <v>95852</v>
      </c>
      <c r="AG235" s="322"/>
      <c r="AH235" s="90">
        <f>+AE235/900</f>
        <v>106.50222222222222</v>
      </c>
      <c r="AI235" s="80">
        <f>SUM(X235,Z235,AB235,AD235)</f>
        <v>88548.5</v>
      </c>
      <c r="AJ235" s="638">
        <f t="shared" si="83"/>
        <v>88548.5</v>
      </c>
      <c r="AK235" s="322"/>
      <c r="AL235" s="80">
        <f>+AI235/900</f>
        <v>98.387222222222221</v>
      </c>
      <c r="AM235" s="79">
        <v>0</v>
      </c>
      <c r="AN235" s="322"/>
      <c r="AO235" s="79">
        <v>0</v>
      </c>
      <c r="AP235" s="322"/>
      <c r="AQ235" s="79">
        <v>0</v>
      </c>
      <c r="AR235" s="322"/>
      <c r="AS235" s="79">
        <v>0</v>
      </c>
      <c r="AT235" s="322"/>
      <c r="AU235" s="325">
        <f>SUM(AM235,AO235,AQ235,AS235)</f>
        <v>0</v>
      </c>
      <c r="AV235" s="90">
        <f>+AU235/24</f>
        <v>0</v>
      </c>
      <c r="AW235" s="324">
        <f>SUM(AN235,AP235,AR235,AT235)</f>
        <v>0</v>
      </c>
      <c r="AX235" s="80">
        <f>+AW235/24</f>
        <v>0</v>
      </c>
      <c r="AY235" s="326">
        <f>SUM(R235,AH235,AV235)</f>
        <v>13100.702222222222</v>
      </c>
      <c r="AZ235" s="80">
        <f>SUM(V235,AL235,AX235)</f>
        <v>14183.737222222222</v>
      </c>
    </row>
    <row r="236" spans="1:52" s="96" customFormat="1">
      <c r="A236" s="194" t="s">
        <v>903</v>
      </c>
      <c r="B236" s="194" t="s">
        <v>0</v>
      </c>
      <c r="C236" s="225">
        <v>158088</v>
      </c>
      <c r="D236" s="198">
        <v>14</v>
      </c>
      <c r="E236" s="162" t="s">
        <v>442</v>
      </c>
      <c r="F236" s="163" t="s">
        <v>442</v>
      </c>
      <c r="G236" s="79"/>
      <c r="H236" s="322"/>
      <c r="I236" s="79"/>
      <c r="K236" s="79"/>
      <c r="M236" s="79"/>
      <c r="O236" s="323">
        <f t="shared" si="70"/>
        <v>0</v>
      </c>
      <c r="P236" s="638">
        <f t="shared" si="80"/>
        <v>0</v>
      </c>
      <c r="Q236" s="349"/>
      <c r="R236" s="90">
        <f t="shared" si="84"/>
        <v>0</v>
      </c>
      <c r="S236" s="324">
        <f t="shared" si="71"/>
        <v>0</v>
      </c>
      <c r="T236" s="638">
        <f t="shared" si="81"/>
        <v>0</v>
      </c>
      <c r="U236" s="349"/>
      <c r="V236" s="80">
        <f t="shared" si="85"/>
        <v>0</v>
      </c>
      <c r="W236" s="79"/>
      <c r="X236" s="322"/>
      <c r="Y236" s="79"/>
      <c r="Z236" s="322"/>
      <c r="AA236" s="79"/>
      <c r="AB236" s="322"/>
      <c r="AC236" s="79"/>
      <c r="AD236" s="322"/>
      <c r="AE236" s="323">
        <f t="shared" si="72"/>
        <v>0</v>
      </c>
      <c r="AF236" s="638">
        <f t="shared" si="82"/>
        <v>0</v>
      </c>
      <c r="AG236" s="322"/>
      <c r="AH236" s="90">
        <f t="shared" si="73"/>
        <v>0</v>
      </c>
      <c r="AI236" s="80">
        <f t="shared" si="74"/>
        <v>0</v>
      </c>
      <c r="AJ236" s="638">
        <f t="shared" si="83"/>
        <v>0</v>
      </c>
      <c r="AK236" s="322"/>
      <c r="AL236" s="80">
        <f t="shared" si="75"/>
        <v>0</v>
      </c>
      <c r="AM236" s="79"/>
      <c r="AN236" s="322"/>
      <c r="AO236" s="79"/>
      <c r="AP236" s="322"/>
      <c r="AQ236" s="79"/>
      <c r="AR236" s="322"/>
      <c r="AS236" s="79"/>
      <c r="AT236" s="322"/>
      <c r="AU236" s="325">
        <f t="shared" si="76"/>
        <v>0</v>
      </c>
      <c r="AV236" s="90">
        <f t="shared" si="86"/>
        <v>0</v>
      </c>
      <c r="AW236" s="324">
        <f t="shared" si="77"/>
        <v>0</v>
      </c>
      <c r="AX236" s="80">
        <f t="shared" si="87"/>
        <v>0</v>
      </c>
      <c r="AY236" s="326">
        <f t="shared" si="78"/>
        <v>0</v>
      </c>
      <c r="AZ236" s="80">
        <f t="shared" si="79"/>
        <v>0</v>
      </c>
    </row>
    <row r="237" spans="1:52" s="96" customFormat="1">
      <c r="A237" s="194" t="s">
        <v>903</v>
      </c>
      <c r="B237" s="194" t="s">
        <v>1</v>
      </c>
      <c r="C237" s="225">
        <v>160560</v>
      </c>
      <c r="D237" s="196">
        <v>14</v>
      </c>
      <c r="E237" s="162" t="s">
        <v>442</v>
      </c>
      <c r="F237" s="163" t="s">
        <v>442</v>
      </c>
      <c r="G237" s="79"/>
      <c r="H237" s="322"/>
      <c r="I237" s="79"/>
      <c r="J237" s="349"/>
      <c r="K237" s="79"/>
      <c r="L237" s="349"/>
      <c r="M237" s="79"/>
      <c r="N237" s="349"/>
      <c r="O237" s="323">
        <f t="shared" si="70"/>
        <v>0</v>
      </c>
      <c r="P237" s="638">
        <f t="shared" si="80"/>
        <v>0</v>
      </c>
      <c r="Q237" s="349"/>
      <c r="R237" s="90">
        <f t="shared" si="84"/>
        <v>0</v>
      </c>
      <c r="S237" s="324">
        <f t="shared" si="71"/>
        <v>0</v>
      </c>
      <c r="T237" s="638">
        <f t="shared" si="81"/>
        <v>0</v>
      </c>
      <c r="U237" s="349"/>
      <c r="V237" s="80">
        <f t="shared" si="85"/>
        <v>0</v>
      </c>
      <c r="W237" s="79"/>
      <c r="X237" s="322"/>
      <c r="Y237" s="79"/>
      <c r="Z237" s="322"/>
      <c r="AA237" s="79"/>
      <c r="AB237" s="322"/>
      <c r="AC237" s="79"/>
      <c r="AD237" s="322"/>
      <c r="AE237" s="323">
        <f t="shared" si="72"/>
        <v>0</v>
      </c>
      <c r="AF237" s="638">
        <f t="shared" si="82"/>
        <v>0</v>
      </c>
      <c r="AG237" s="322"/>
      <c r="AH237" s="90">
        <f t="shared" si="73"/>
        <v>0</v>
      </c>
      <c r="AI237" s="80">
        <f t="shared" si="74"/>
        <v>0</v>
      </c>
      <c r="AJ237" s="638">
        <f t="shared" si="83"/>
        <v>0</v>
      </c>
      <c r="AK237" s="322"/>
      <c r="AL237" s="80">
        <f t="shared" si="75"/>
        <v>0</v>
      </c>
      <c r="AM237" s="79"/>
      <c r="AN237" s="322"/>
      <c r="AO237" s="79"/>
      <c r="AP237" s="322"/>
      <c r="AQ237" s="79"/>
      <c r="AR237" s="322"/>
      <c r="AS237" s="79"/>
      <c r="AT237" s="322"/>
      <c r="AU237" s="325">
        <f t="shared" si="76"/>
        <v>0</v>
      </c>
      <c r="AV237" s="90">
        <f t="shared" si="86"/>
        <v>0</v>
      </c>
      <c r="AW237" s="324">
        <f t="shared" si="77"/>
        <v>0</v>
      </c>
      <c r="AX237" s="80">
        <f t="shared" si="87"/>
        <v>0</v>
      </c>
      <c r="AY237" s="326">
        <f t="shared" si="78"/>
        <v>0</v>
      </c>
      <c r="AZ237" s="80">
        <f t="shared" si="79"/>
        <v>0</v>
      </c>
    </row>
    <row r="238" spans="1:52" s="96" customFormat="1">
      <c r="A238" s="194" t="s">
        <v>903</v>
      </c>
      <c r="B238" s="194" t="s">
        <v>2</v>
      </c>
      <c r="C238" s="225">
        <v>158219</v>
      </c>
      <c r="D238" s="196">
        <v>14</v>
      </c>
      <c r="E238" s="162" t="s">
        <v>442</v>
      </c>
      <c r="F238" s="163" t="s">
        <v>442</v>
      </c>
      <c r="G238" s="79"/>
      <c r="H238" s="322"/>
      <c r="I238" s="79"/>
      <c r="J238" s="349"/>
      <c r="K238" s="79"/>
      <c r="L238" s="349"/>
      <c r="M238" s="79"/>
      <c r="N238" s="349"/>
      <c r="O238" s="323">
        <f t="shared" si="70"/>
        <v>0</v>
      </c>
      <c r="P238" s="638">
        <f t="shared" si="80"/>
        <v>0</v>
      </c>
      <c r="Q238" s="349"/>
      <c r="R238" s="90">
        <f t="shared" si="84"/>
        <v>0</v>
      </c>
      <c r="S238" s="324">
        <f t="shared" si="71"/>
        <v>0</v>
      </c>
      <c r="T238" s="638">
        <f t="shared" si="81"/>
        <v>0</v>
      </c>
      <c r="U238" s="349"/>
      <c r="V238" s="80">
        <f t="shared" si="85"/>
        <v>0</v>
      </c>
      <c r="W238" s="79"/>
      <c r="X238" s="322"/>
      <c r="Y238" s="79"/>
      <c r="Z238" s="322"/>
      <c r="AA238" s="79"/>
      <c r="AB238" s="322"/>
      <c r="AC238" s="79"/>
      <c r="AD238" s="322"/>
      <c r="AE238" s="323">
        <f t="shared" si="72"/>
        <v>0</v>
      </c>
      <c r="AF238" s="638">
        <f t="shared" si="82"/>
        <v>0</v>
      </c>
      <c r="AG238" s="322"/>
      <c r="AH238" s="90">
        <f t="shared" si="73"/>
        <v>0</v>
      </c>
      <c r="AI238" s="80">
        <f t="shared" si="74"/>
        <v>0</v>
      </c>
      <c r="AJ238" s="638">
        <f t="shared" si="83"/>
        <v>0</v>
      </c>
      <c r="AK238" s="322"/>
      <c r="AL238" s="80">
        <f t="shared" si="75"/>
        <v>0</v>
      </c>
      <c r="AM238" s="79"/>
      <c r="AN238" s="322"/>
      <c r="AO238" s="79"/>
      <c r="AP238" s="322"/>
      <c r="AQ238" s="79"/>
      <c r="AR238" s="322"/>
      <c r="AS238" s="79"/>
      <c r="AT238" s="322"/>
      <c r="AU238" s="325">
        <f t="shared" si="76"/>
        <v>0</v>
      </c>
      <c r="AV238" s="90">
        <f t="shared" si="86"/>
        <v>0</v>
      </c>
      <c r="AW238" s="324">
        <f t="shared" si="77"/>
        <v>0</v>
      </c>
      <c r="AX238" s="80">
        <f t="shared" si="87"/>
        <v>0</v>
      </c>
      <c r="AY238" s="326">
        <f t="shared" si="78"/>
        <v>0</v>
      </c>
      <c r="AZ238" s="80">
        <f t="shared" si="79"/>
        <v>0</v>
      </c>
    </row>
    <row r="239" spans="1:52" s="96" customFormat="1">
      <c r="A239" s="194" t="s">
        <v>903</v>
      </c>
      <c r="B239" s="194" t="s">
        <v>3</v>
      </c>
      <c r="C239" s="225">
        <v>158237</v>
      </c>
      <c r="D239" s="196">
        <v>14</v>
      </c>
      <c r="E239" s="162" t="s">
        <v>442</v>
      </c>
      <c r="F239" s="163" t="s">
        <v>442</v>
      </c>
      <c r="G239" s="79"/>
      <c r="H239" s="322"/>
      <c r="I239" s="79"/>
      <c r="J239" s="349"/>
      <c r="K239" s="79"/>
      <c r="L239" s="349"/>
      <c r="M239" s="79"/>
      <c r="N239" s="349"/>
      <c r="O239" s="323">
        <f t="shared" si="70"/>
        <v>0</v>
      </c>
      <c r="P239" s="638">
        <f t="shared" si="80"/>
        <v>0</v>
      </c>
      <c r="Q239" s="349"/>
      <c r="R239" s="90">
        <f t="shared" si="84"/>
        <v>0</v>
      </c>
      <c r="S239" s="324">
        <f t="shared" si="71"/>
        <v>0</v>
      </c>
      <c r="T239" s="638">
        <f t="shared" si="81"/>
        <v>0</v>
      </c>
      <c r="U239" s="349"/>
      <c r="V239" s="80">
        <f t="shared" si="85"/>
        <v>0</v>
      </c>
      <c r="W239" s="79"/>
      <c r="X239" s="322"/>
      <c r="Y239" s="79"/>
      <c r="Z239" s="322"/>
      <c r="AA239" s="79"/>
      <c r="AB239" s="322"/>
      <c r="AC239" s="79"/>
      <c r="AD239" s="322"/>
      <c r="AE239" s="323">
        <f t="shared" si="72"/>
        <v>0</v>
      </c>
      <c r="AF239" s="638">
        <f t="shared" si="82"/>
        <v>0</v>
      </c>
      <c r="AG239" s="322"/>
      <c r="AH239" s="90">
        <f t="shared" si="73"/>
        <v>0</v>
      </c>
      <c r="AI239" s="80">
        <f t="shared" si="74"/>
        <v>0</v>
      </c>
      <c r="AJ239" s="638">
        <f t="shared" si="83"/>
        <v>0</v>
      </c>
      <c r="AK239" s="322"/>
      <c r="AL239" s="80">
        <f t="shared" si="75"/>
        <v>0</v>
      </c>
      <c r="AM239" s="79"/>
      <c r="AN239" s="322"/>
      <c r="AO239" s="79"/>
      <c r="AP239" s="322"/>
      <c r="AQ239" s="79"/>
      <c r="AR239" s="322"/>
      <c r="AS239" s="79"/>
      <c r="AT239" s="322"/>
      <c r="AU239" s="325">
        <f t="shared" si="76"/>
        <v>0</v>
      </c>
      <c r="AV239" s="90">
        <f t="shared" si="86"/>
        <v>0</v>
      </c>
      <c r="AW239" s="324">
        <f t="shared" si="77"/>
        <v>0</v>
      </c>
      <c r="AX239" s="80">
        <f t="shared" si="87"/>
        <v>0</v>
      </c>
      <c r="AY239" s="326">
        <f t="shared" si="78"/>
        <v>0</v>
      </c>
      <c r="AZ239" s="80">
        <f t="shared" si="79"/>
        <v>0</v>
      </c>
    </row>
    <row r="240" spans="1:52" s="96" customFormat="1">
      <c r="A240" s="194" t="s">
        <v>903</v>
      </c>
      <c r="B240" s="194" t="s">
        <v>4</v>
      </c>
      <c r="C240" s="225">
        <v>158307</v>
      </c>
      <c r="D240" s="196">
        <v>14</v>
      </c>
      <c r="E240" s="162" t="s">
        <v>442</v>
      </c>
      <c r="F240" s="163" t="s">
        <v>442</v>
      </c>
      <c r="G240" s="79"/>
      <c r="H240" s="322"/>
      <c r="I240" s="79"/>
      <c r="J240" s="349"/>
      <c r="K240" s="79"/>
      <c r="L240" s="349"/>
      <c r="M240" s="79"/>
      <c r="N240" s="349"/>
      <c r="O240" s="323">
        <f t="shared" si="70"/>
        <v>0</v>
      </c>
      <c r="P240" s="638">
        <f t="shared" si="80"/>
        <v>0</v>
      </c>
      <c r="Q240" s="349"/>
      <c r="R240" s="90">
        <f t="shared" si="84"/>
        <v>0</v>
      </c>
      <c r="S240" s="324">
        <f t="shared" si="71"/>
        <v>0</v>
      </c>
      <c r="T240" s="638">
        <f t="shared" si="81"/>
        <v>0</v>
      </c>
      <c r="U240" s="349"/>
      <c r="V240" s="80">
        <f t="shared" si="85"/>
        <v>0</v>
      </c>
      <c r="W240" s="79"/>
      <c r="X240" s="322"/>
      <c r="Y240" s="79"/>
      <c r="Z240" s="322"/>
      <c r="AA240" s="79"/>
      <c r="AB240" s="322"/>
      <c r="AC240" s="79"/>
      <c r="AD240" s="322"/>
      <c r="AE240" s="323">
        <f t="shared" si="72"/>
        <v>0</v>
      </c>
      <c r="AF240" s="638">
        <f t="shared" si="82"/>
        <v>0</v>
      </c>
      <c r="AG240" s="322"/>
      <c r="AH240" s="90">
        <f t="shared" si="73"/>
        <v>0</v>
      </c>
      <c r="AI240" s="80">
        <f t="shared" si="74"/>
        <v>0</v>
      </c>
      <c r="AJ240" s="638">
        <f t="shared" si="83"/>
        <v>0</v>
      </c>
      <c r="AK240" s="322"/>
      <c r="AL240" s="80">
        <f t="shared" si="75"/>
        <v>0</v>
      </c>
      <c r="AM240" s="79"/>
      <c r="AN240" s="322"/>
      <c r="AO240" s="79"/>
      <c r="AP240" s="322"/>
      <c r="AQ240" s="79"/>
      <c r="AR240" s="322"/>
      <c r="AS240" s="79"/>
      <c r="AT240" s="322"/>
      <c r="AU240" s="325">
        <f t="shared" si="76"/>
        <v>0</v>
      </c>
      <c r="AV240" s="90">
        <f t="shared" si="86"/>
        <v>0</v>
      </c>
      <c r="AW240" s="324">
        <f t="shared" si="77"/>
        <v>0</v>
      </c>
      <c r="AX240" s="80">
        <f t="shared" si="87"/>
        <v>0</v>
      </c>
      <c r="AY240" s="326">
        <f t="shared" si="78"/>
        <v>0</v>
      </c>
      <c r="AZ240" s="80">
        <f t="shared" si="79"/>
        <v>0</v>
      </c>
    </row>
    <row r="241" spans="1:52" s="96" customFormat="1">
      <c r="A241" s="194" t="s">
        <v>903</v>
      </c>
      <c r="B241" s="194" t="s">
        <v>5</v>
      </c>
      <c r="C241" s="225">
        <v>158352</v>
      </c>
      <c r="D241" s="196">
        <v>14</v>
      </c>
      <c r="E241" s="162" t="s">
        <v>442</v>
      </c>
      <c r="F241" s="163" t="s">
        <v>442</v>
      </c>
      <c r="G241" s="79"/>
      <c r="H241" s="322"/>
      <c r="I241" s="79"/>
      <c r="J241" s="349"/>
      <c r="K241" s="79"/>
      <c r="L241" s="349"/>
      <c r="M241" s="79"/>
      <c r="N241" s="349"/>
      <c r="O241" s="323">
        <f t="shared" si="70"/>
        <v>0</v>
      </c>
      <c r="P241" s="638">
        <f t="shared" si="80"/>
        <v>0</v>
      </c>
      <c r="Q241" s="349"/>
      <c r="R241" s="90">
        <f t="shared" si="84"/>
        <v>0</v>
      </c>
      <c r="S241" s="324">
        <f t="shared" si="71"/>
        <v>0</v>
      </c>
      <c r="T241" s="638">
        <f t="shared" si="81"/>
        <v>0</v>
      </c>
      <c r="U241" s="349"/>
      <c r="V241" s="80">
        <f t="shared" si="85"/>
        <v>0</v>
      </c>
      <c r="W241" s="79"/>
      <c r="X241" s="322"/>
      <c r="Y241" s="79"/>
      <c r="Z241" s="322"/>
      <c r="AA241" s="79"/>
      <c r="AB241" s="322"/>
      <c r="AC241" s="79"/>
      <c r="AD241" s="322"/>
      <c r="AE241" s="323">
        <f t="shared" si="72"/>
        <v>0</v>
      </c>
      <c r="AF241" s="638">
        <f t="shared" si="82"/>
        <v>0</v>
      </c>
      <c r="AG241" s="322"/>
      <c r="AH241" s="90">
        <f t="shared" si="73"/>
        <v>0</v>
      </c>
      <c r="AI241" s="80">
        <f t="shared" si="74"/>
        <v>0</v>
      </c>
      <c r="AJ241" s="638">
        <f t="shared" si="83"/>
        <v>0</v>
      </c>
      <c r="AK241" s="322"/>
      <c r="AL241" s="80">
        <f t="shared" si="75"/>
        <v>0</v>
      </c>
      <c r="AM241" s="79"/>
      <c r="AN241" s="322"/>
      <c r="AO241" s="79"/>
      <c r="AP241" s="322"/>
      <c r="AQ241" s="79"/>
      <c r="AR241" s="322"/>
      <c r="AS241" s="79"/>
      <c r="AT241" s="322"/>
      <c r="AU241" s="325">
        <f t="shared" si="76"/>
        <v>0</v>
      </c>
      <c r="AV241" s="90">
        <f t="shared" si="86"/>
        <v>0</v>
      </c>
      <c r="AW241" s="324">
        <f t="shared" si="77"/>
        <v>0</v>
      </c>
      <c r="AX241" s="80">
        <f t="shared" si="87"/>
        <v>0</v>
      </c>
      <c r="AY241" s="326">
        <f t="shared" si="78"/>
        <v>0</v>
      </c>
      <c r="AZ241" s="80">
        <f t="shared" si="79"/>
        <v>0</v>
      </c>
    </row>
    <row r="242" spans="1:52" s="96" customFormat="1">
      <c r="A242" s="194" t="s">
        <v>903</v>
      </c>
      <c r="B242" s="194" t="s">
        <v>6</v>
      </c>
      <c r="C242" s="225">
        <v>160816</v>
      </c>
      <c r="D242" s="196">
        <v>14</v>
      </c>
      <c r="E242" s="162" t="s">
        <v>442</v>
      </c>
      <c r="F242" s="163" t="s">
        <v>442</v>
      </c>
      <c r="G242" s="79"/>
      <c r="H242" s="322"/>
      <c r="I242" s="79"/>
      <c r="J242" s="349"/>
      <c r="K242" s="79"/>
      <c r="L242" s="349"/>
      <c r="M242" s="79"/>
      <c r="N242" s="349"/>
      <c r="O242" s="323">
        <f t="shared" si="70"/>
        <v>0</v>
      </c>
      <c r="P242" s="638">
        <f t="shared" si="80"/>
        <v>0</v>
      </c>
      <c r="Q242" s="349"/>
      <c r="R242" s="90">
        <f t="shared" si="84"/>
        <v>0</v>
      </c>
      <c r="S242" s="324">
        <f t="shared" si="71"/>
        <v>0</v>
      </c>
      <c r="T242" s="638">
        <f t="shared" si="81"/>
        <v>0</v>
      </c>
      <c r="U242" s="349"/>
      <c r="V242" s="80">
        <f t="shared" si="85"/>
        <v>0</v>
      </c>
      <c r="W242" s="79"/>
      <c r="X242" s="322"/>
      <c r="Y242" s="79"/>
      <c r="Z242" s="322"/>
      <c r="AA242" s="79"/>
      <c r="AB242" s="322"/>
      <c r="AC242" s="79"/>
      <c r="AD242" s="322"/>
      <c r="AE242" s="323">
        <f t="shared" si="72"/>
        <v>0</v>
      </c>
      <c r="AF242" s="638">
        <f t="shared" si="82"/>
        <v>0</v>
      </c>
      <c r="AG242" s="322"/>
      <c r="AH242" s="90">
        <f t="shared" si="73"/>
        <v>0</v>
      </c>
      <c r="AI242" s="80">
        <f t="shared" si="74"/>
        <v>0</v>
      </c>
      <c r="AJ242" s="638">
        <f t="shared" si="83"/>
        <v>0</v>
      </c>
      <c r="AK242" s="322"/>
      <c r="AL242" s="80">
        <f t="shared" si="75"/>
        <v>0</v>
      </c>
      <c r="AM242" s="79"/>
      <c r="AN242" s="322"/>
      <c r="AO242" s="79"/>
      <c r="AP242" s="322"/>
      <c r="AQ242" s="79"/>
      <c r="AR242" s="322"/>
      <c r="AS242" s="79"/>
      <c r="AT242" s="322"/>
      <c r="AU242" s="325">
        <f t="shared" si="76"/>
        <v>0</v>
      </c>
      <c r="AV242" s="90">
        <f t="shared" si="86"/>
        <v>0</v>
      </c>
      <c r="AW242" s="324">
        <f t="shared" si="77"/>
        <v>0</v>
      </c>
      <c r="AX242" s="80">
        <f t="shared" si="87"/>
        <v>0</v>
      </c>
      <c r="AY242" s="326">
        <f t="shared" si="78"/>
        <v>0</v>
      </c>
      <c r="AZ242" s="80">
        <f t="shared" si="79"/>
        <v>0</v>
      </c>
    </row>
    <row r="243" spans="1:52" s="96" customFormat="1">
      <c r="A243" s="194" t="s">
        <v>903</v>
      </c>
      <c r="B243" s="194" t="s">
        <v>7</v>
      </c>
      <c r="C243" s="225">
        <v>158769</v>
      </c>
      <c r="D243" s="196">
        <v>14</v>
      </c>
      <c r="E243" s="162" t="s">
        <v>442</v>
      </c>
      <c r="F243" s="163" t="s">
        <v>442</v>
      </c>
      <c r="G243" s="79"/>
      <c r="H243" s="322"/>
      <c r="I243" s="79"/>
      <c r="J243" s="349"/>
      <c r="K243" s="79"/>
      <c r="L243" s="349"/>
      <c r="M243" s="79"/>
      <c r="N243" s="349"/>
      <c r="O243" s="323">
        <f t="shared" si="70"/>
        <v>0</v>
      </c>
      <c r="P243" s="638">
        <f t="shared" si="80"/>
        <v>0</v>
      </c>
      <c r="Q243" s="349"/>
      <c r="R243" s="90">
        <f t="shared" si="84"/>
        <v>0</v>
      </c>
      <c r="S243" s="324">
        <f t="shared" si="71"/>
        <v>0</v>
      </c>
      <c r="T243" s="638">
        <f t="shared" si="81"/>
        <v>0</v>
      </c>
      <c r="U243" s="349"/>
      <c r="V243" s="80">
        <f t="shared" si="85"/>
        <v>0</v>
      </c>
      <c r="W243" s="79"/>
      <c r="X243" s="322"/>
      <c r="Y243" s="79"/>
      <c r="Z243" s="322"/>
      <c r="AA243" s="79"/>
      <c r="AB243" s="322"/>
      <c r="AC243" s="79"/>
      <c r="AD243" s="322"/>
      <c r="AE243" s="323">
        <f t="shared" si="72"/>
        <v>0</v>
      </c>
      <c r="AF243" s="638">
        <f t="shared" si="82"/>
        <v>0</v>
      </c>
      <c r="AG243" s="322"/>
      <c r="AH243" s="90">
        <f t="shared" si="73"/>
        <v>0</v>
      </c>
      <c r="AI243" s="80">
        <f t="shared" si="74"/>
        <v>0</v>
      </c>
      <c r="AJ243" s="638">
        <f t="shared" si="83"/>
        <v>0</v>
      </c>
      <c r="AK243" s="322"/>
      <c r="AL243" s="80">
        <f t="shared" si="75"/>
        <v>0</v>
      </c>
      <c r="AM243" s="79"/>
      <c r="AN243" s="322"/>
      <c r="AO243" s="79"/>
      <c r="AP243" s="322"/>
      <c r="AQ243" s="79"/>
      <c r="AR243" s="322"/>
      <c r="AS243" s="79"/>
      <c r="AT243" s="322"/>
      <c r="AU243" s="325">
        <f t="shared" si="76"/>
        <v>0</v>
      </c>
      <c r="AV243" s="90">
        <f t="shared" si="86"/>
        <v>0</v>
      </c>
      <c r="AW243" s="324">
        <f t="shared" si="77"/>
        <v>0</v>
      </c>
      <c r="AX243" s="80">
        <f t="shared" si="87"/>
        <v>0</v>
      </c>
      <c r="AY243" s="326">
        <f t="shared" si="78"/>
        <v>0</v>
      </c>
      <c r="AZ243" s="80">
        <f t="shared" si="79"/>
        <v>0</v>
      </c>
    </row>
    <row r="244" spans="1:52" s="96" customFormat="1">
      <c r="A244" s="194" t="s">
        <v>903</v>
      </c>
      <c r="B244" s="194" t="s">
        <v>8</v>
      </c>
      <c r="C244" s="225">
        <v>158893</v>
      </c>
      <c r="D244" s="196">
        <v>14</v>
      </c>
      <c r="E244" s="162" t="s">
        <v>442</v>
      </c>
      <c r="F244" s="163" t="s">
        <v>442</v>
      </c>
      <c r="G244" s="79"/>
      <c r="H244" s="322"/>
      <c r="I244" s="79"/>
      <c r="J244" s="349"/>
      <c r="K244" s="79"/>
      <c r="L244" s="349"/>
      <c r="M244" s="79"/>
      <c r="N244" s="349"/>
      <c r="O244" s="323">
        <f t="shared" si="70"/>
        <v>0</v>
      </c>
      <c r="P244" s="638">
        <f t="shared" si="80"/>
        <v>0</v>
      </c>
      <c r="Q244" s="349"/>
      <c r="R244" s="90">
        <f t="shared" si="84"/>
        <v>0</v>
      </c>
      <c r="S244" s="324">
        <f t="shared" si="71"/>
        <v>0</v>
      </c>
      <c r="T244" s="638">
        <f t="shared" si="81"/>
        <v>0</v>
      </c>
      <c r="U244" s="349"/>
      <c r="V244" s="80">
        <f t="shared" si="85"/>
        <v>0</v>
      </c>
      <c r="W244" s="79"/>
      <c r="X244" s="322"/>
      <c r="Y244" s="79"/>
      <c r="Z244" s="322"/>
      <c r="AA244" s="79"/>
      <c r="AB244" s="322"/>
      <c r="AC244" s="79"/>
      <c r="AD244" s="322"/>
      <c r="AE244" s="323">
        <f t="shared" si="72"/>
        <v>0</v>
      </c>
      <c r="AF244" s="638">
        <f t="shared" si="82"/>
        <v>0</v>
      </c>
      <c r="AG244" s="322"/>
      <c r="AH244" s="90">
        <f t="shared" si="73"/>
        <v>0</v>
      </c>
      <c r="AI244" s="80">
        <f t="shared" si="74"/>
        <v>0</v>
      </c>
      <c r="AJ244" s="638">
        <f t="shared" si="83"/>
        <v>0</v>
      </c>
      <c r="AK244" s="322"/>
      <c r="AL244" s="80">
        <f t="shared" si="75"/>
        <v>0</v>
      </c>
      <c r="AM244" s="79"/>
      <c r="AN244" s="322"/>
      <c r="AO244" s="79"/>
      <c r="AP244" s="322"/>
      <c r="AQ244" s="79"/>
      <c r="AR244" s="322"/>
      <c r="AS244" s="79"/>
      <c r="AT244" s="322"/>
      <c r="AU244" s="325">
        <f t="shared" si="76"/>
        <v>0</v>
      </c>
      <c r="AV244" s="90">
        <f t="shared" si="86"/>
        <v>0</v>
      </c>
      <c r="AW244" s="324">
        <f t="shared" si="77"/>
        <v>0</v>
      </c>
      <c r="AX244" s="80">
        <f t="shared" si="87"/>
        <v>0</v>
      </c>
      <c r="AY244" s="326">
        <f t="shared" si="78"/>
        <v>0</v>
      </c>
      <c r="AZ244" s="80">
        <f t="shared" si="79"/>
        <v>0</v>
      </c>
    </row>
    <row r="245" spans="1:52" s="96" customFormat="1">
      <c r="A245" s="194" t="s">
        <v>903</v>
      </c>
      <c r="B245" s="194" t="s">
        <v>9</v>
      </c>
      <c r="C245" s="225">
        <v>158936</v>
      </c>
      <c r="D245" s="196">
        <v>14</v>
      </c>
      <c r="E245" s="162" t="s">
        <v>442</v>
      </c>
      <c r="F245" s="163" t="s">
        <v>442</v>
      </c>
      <c r="G245" s="79"/>
      <c r="H245" s="322"/>
      <c r="I245" s="79"/>
      <c r="J245" s="349"/>
      <c r="K245" s="79"/>
      <c r="L245" s="349"/>
      <c r="M245" s="79"/>
      <c r="N245" s="349"/>
      <c r="O245" s="323">
        <f t="shared" si="70"/>
        <v>0</v>
      </c>
      <c r="P245" s="638">
        <f t="shared" si="80"/>
        <v>0</v>
      </c>
      <c r="Q245" s="349"/>
      <c r="R245" s="90">
        <f t="shared" si="84"/>
        <v>0</v>
      </c>
      <c r="S245" s="324">
        <f t="shared" si="71"/>
        <v>0</v>
      </c>
      <c r="T245" s="638">
        <f t="shared" si="81"/>
        <v>0</v>
      </c>
      <c r="U245" s="349"/>
      <c r="V245" s="80">
        <f t="shared" si="85"/>
        <v>0</v>
      </c>
      <c r="W245" s="79"/>
      <c r="X245" s="322"/>
      <c r="Y245" s="79"/>
      <c r="Z245" s="322"/>
      <c r="AA245" s="79"/>
      <c r="AB245" s="322"/>
      <c r="AC245" s="79"/>
      <c r="AD245" s="322"/>
      <c r="AE245" s="323">
        <f t="shared" si="72"/>
        <v>0</v>
      </c>
      <c r="AF245" s="638">
        <f t="shared" si="82"/>
        <v>0</v>
      </c>
      <c r="AG245" s="322"/>
      <c r="AH245" s="90">
        <f t="shared" si="73"/>
        <v>0</v>
      </c>
      <c r="AI245" s="80">
        <f t="shared" si="74"/>
        <v>0</v>
      </c>
      <c r="AJ245" s="638">
        <f t="shared" si="83"/>
        <v>0</v>
      </c>
      <c r="AK245" s="322"/>
      <c r="AL245" s="80">
        <f t="shared" si="75"/>
        <v>0</v>
      </c>
      <c r="AM245" s="79"/>
      <c r="AN245" s="322"/>
      <c r="AO245" s="79"/>
      <c r="AP245" s="322"/>
      <c r="AQ245" s="79"/>
      <c r="AR245" s="322"/>
      <c r="AS245" s="79"/>
      <c r="AT245" s="322"/>
      <c r="AU245" s="325">
        <f t="shared" si="76"/>
        <v>0</v>
      </c>
      <c r="AV245" s="90">
        <f t="shared" si="86"/>
        <v>0</v>
      </c>
      <c r="AW245" s="324">
        <f t="shared" si="77"/>
        <v>0</v>
      </c>
      <c r="AX245" s="80">
        <f t="shared" si="87"/>
        <v>0</v>
      </c>
      <c r="AY245" s="326">
        <f t="shared" si="78"/>
        <v>0</v>
      </c>
      <c r="AZ245" s="80">
        <f t="shared" si="79"/>
        <v>0</v>
      </c>
    </row>
    <row r="246" spans="1:52" s="96" customFormat="1">
      <c r="A246" s="194" t="s">
        <v>903</v>
      </c>
      <c r="B246" s="194" t="s">
        <v>10</v>
      </c>
      <c r="C246" s="225">
        <v>158945</v>
      </c>
      <c r="D246" s="196">
        <v>14</v>
      </c>
      <c r="E246" s="162" t="s">
        <v>442</v>
      </c>
      <c r="F246" s="163" t="s">
        <v>442</v>
      </c>
      <c r="G246" s="79"/>
      <c r="H246" s="322"/>
      <c r="I246" s="79"/>
      <c r="J246" s="349"/>
      <c r="K246" s="79"/>
      <c r="L246" s="349"/>
      <c r="M246" s="79"/>
      <c r="N246" s="349"/>
      <c r="O246" s="323">
        <f t="shared" si="70"/>
        <v>0</v>
      </c>
      <c r="P246" s="638">
        <f t="shared" si="80"/>
        <v>0</v>
      </c>
      <c r="Q246" s="349"/>
      <c r="R246" s="90">
        <f t="shared" si="84"/>
        <v>0</v>
      </c>
      <c r="S246" s="324">
        <f t="shared" si="71"/>
        <v>0</v>
      </c>
      <c r="T246" s="638">
        <f t="shared" si="81"/>
        <v>0</v>
      </c>
      <c r="U246" s="349"/>
      <c r="V246" s="80">
        <f t="shared" si="85"/>
        <v>0</v>
      </c>
      <c r="W246" s="79"/>
      <c r="X246" s="322"/>
      <c r="Y246" s="79"/>
      <c r="Z246" s="322"/>
      <c r="AA246" s="79"/>
      <c r="AB246" s="322"/>
      <c r="AC246" s="79"/>
      <c r="AD246" s="322"/>
      <c r="AE246" s="323">
        <f t="shared" si="72"/>
        <v>0</v>
      </c>
      <c r="AF246" s="638">
        <f t="shared" si="82"/>
        <v>0</v>
      </c>
      <c r="AG246" s="322"/>
      <c r="AH246" s="90">
        <f t="shared" si="73"/>
        <v>0</v>
      </c>
      <c r="AI246" s="80">
        <f t="shared" si="74"/>
        <v>0</v>
      </c>
      <c r="AJ246" s="638">
        <f t="shared" si="83"/>
        <v>0</v>
      </c>
      <c r="AK246" s="322"/>
      <c r="AL246" s="80">
        <f t="shared" si="75"/>
        <v>0</v>
      </c>
      <c r="AM246" s="79"/>
      <c r="AN246" s="322"/>
      <c r="AO246" s="79"/>
      <c r="AP246" s="322"/>
      <c r="AQ246" s="79"/>
      <c r="AR246" s="322"/>
      <c r="AS246" s="79"/>
      <c r="AT246" s="322"/>
      <c r="AU246" s="325">
        <f t="shared" si="76"/>
        <v>0</v>
      </c>
      <c r="AV246" s="90">
        <f t="shared" si="86"/>
        <v>0</v>
      </c>
      <c r="AW246" s="324">
        <f t="shared" si="77"/>
        <v>0</v>
      </c>
      <c r="AX246" s="80">
        <f t="shared" si="87"/>
        <v>0</v>
      </c>
      <c r="AY246" s="326">
        <f t="shared" si="78"/>
        <v>0</v>
      </c>
      <c r="AZ246" s="80">
        <f t="shared" si="79"/>
        <v>0</v>
      </c>
    </row>
    <row r="247" spans="1:52" s="96" customFormat="1">
      <c r="A247" s="194" t="s">
        <v>903</v>
      </c>
      <c r="B247" s="194" t="s">
        <v>13</v>
      </c>
      <c r="C247" s="225">
        <v>159018</v>
      </c>
      <c r="D247" s="196">
        <v>14</v>
      </c>
      <c r="E247" s="162" t="s">
        <v>442</v>
      </c>
      <c r="F247" s="163" t="s">
        <v>442</v>
      </c>
      <c r="G247" s="79"/>
      <c r="H247" s="322"/>
      <c r="I247" s="79"/>
      <c r="J247" s="349"/>
      <c r="K247" s="79"/>
      <c r="L247" s="349"/>
      <c r="M247" s="79"/>
      <c r="N247" s="349"/>
      <c r="O247" s="323">
        <f t="shared" si="70"/>
        <v>0</v>
      </c>
      <c r="P247" s="638">
        <f t="shared" si="80"/>
        <v>0</v>
      </c>
      <c r="Q247" s="349"/>
      <c r="R247" s="90">
        <f t="shared" si="84"/>
        <v>0</v>
      </c>
      <c r="S247" s="324">
        <f t="shared" si="71"/>
        <v>0</v>
      </c>
      <c r="T247" s="638">
        <f t="shared" si="81"/>
        <v>0</v>
      </c>
      <c r="U247" s="349"/>
      <c r="V247" s="80">
        <f t="shared" si="85"/>
        <v>0</v>
      </c>
      <c r="W247" s="79"/>
      <c r="X247" s="322"/>
      <c r="Y247" s="79"/>
      <c r="Z247" s="322"/>
      <c r="AA247" s="79"/>
      <c r="AB247" s="322"/>
      <c r="AC247" s="79"/>
      <c r="AD247" s="322"/>
      <c r="AE247" s="323">
        <f t="shared" si="72"/>
        <v>0</v>
      </c>
      <c r="AF247" s="638">
        <f t="shared" si="82"/>
        <v>0</v>
      </c>
      <c r="AG247" s="322"/>
      <c r="AH247" s="90">
        <f t="shared" si="73"/>
        <v>0</v>
      </c>
      <c r="AI247" s="80">
        <f t="shared" si="74"/>
        <v>0</v>
      </c>
      <c r="AJ247" s="638">
        <f t="shared" si="83"/>
        <v>0</v>
      </c>
      <c r="AK247" s="322"/>
      <c r="AL247" s="80">
        <f t="shared" si="75"/>
        <v>0</v>
      </c>
      <c r="AM247" s="79"/>
      <c r="AN247" s="322"/>
      <c r="AO247" s="79"/>
      <c r="AP247" s="322"/>
      <c r="AQ247" s="79"/>
      <c r="AR247" s="322"/>
      <c r="AS247" s="79"/>
      <c r="AT247" s="322"/>
      <c r="AU247" s="325">
        <f t="shared" si="76"/>
        <v>0</v>
      </c>
      <c r="AV247" s="90">
        <f t="shared" si="86"/>
        <v>0</v>
      </c>
      <c r="AW247" s="324">
        <f t="shared" si="77"/>
        <v>0</v>
      </c>
      <c r="AX247" s="80">
        <f t="shared" si="87"/>
        <v>0</v>
      </c>
      <c r="AY247" s="326">
        <f t="shared" si="78"/>
        <v>0</v>
      </c>
      <c r="AZ247" s="80">
        <f t="shared" si="79"/>
        <v>0</v>
      </c>
    </row>
    <row r="248" spans="1:52" s="96" customFormat="1">
      <c r="A248" s="194" t="s">
        <v>903</v>
      </c>
      <c r="B248" s="194" t="s">
        <v>14</v>
      </c>
      <c r="C248" s="225">
        <v>159045</v>
      </c>
      <c r="D248" s="196">
        <v>14</v>
      </c>
      <c r="E248" s="162" t="s">
        <v>442</v>
      </c>
      <c r="F248" s="163" t="s">
        <v>442</v>
      </c>
      <c r="G248" s="79"/>
      <c r="H248" s="322"/>
      <c r="I248" s="79"/>
      <c r="J248" s="349"/>
      <c r="K248" s="79"/>
      <c r="L248" s="349"/>
      <c r="M248" s="79"/>
      <c r="N248" s="349"/>
      <c r="O248" s="323">
        <f t="shared" si="70"/>
        <v>0</v>
      </c>
      <c r="P248" s="638">
        <f t="shared" si="80"/>
        <v>0</v>
      </c>
      <c r="Q248" s="349"/>
      <c r="R248" s="90">
        <f t="shared" si="84"/>
        <v>0</v>
      </c>
      <c r="S248" s="324">
        <f t="shared" si="71"/>
        <v>0</v>
      </c>
      <c r="T248" s="638">
        <f t="shared" si="81"/>
        <v>0</v>
      </c>
      <c r="U248" s="349"/>
      <c r="V248" s="80">
        <f t="shared" si="85"/>
        <v>0</v>
      </c>
      <c r="W248" s="79"/>
      <c r="X248" s="322"/>
      <c r="Y248" s="79"/>
      <c r="Z248" s="322"/>
      <c r="AA248" s="79"/>
      <c r="AB248" s="322"/>
      <c r="AC248" s="79"/>
      <c r="AD248" s="322"/>
      <c r="AE248" s="323">
        <f t="shared" si="72"/>
        <v>0</v>
      </c>
      <c r="AF248" s="638">
        <f t="shared" si="82"/>
        <v>0</v>
      </c>
      <c r="AG248" s="322"/>
      <c r="AH248" s="90">
        <f t="shared" si="73"/>
        <v>0</v>
      </c>
      <c r="AI248" s="80">
        <f t="shared" si="74"/>
        <v>0</v>
      </c>
      <c r="AJ248" s="638">
        <f t="shared" si="83"/>
        <v>0</v>
      </c>
      <c r="AK248" s="322"/>
      <c r="AL248" s="80">
        <f t="shared" si="75"/>
        <v>0</v>
      </c>
      <c r="AM248" s="79"/>
      <c r="AN248" s="322"/>
      <c r="AO248" s="79"/>
      <c r="AP248" s="322"/>
      <c r="AQ248" s="79"/>
      <c r="AR248" s="322"/>
      <c r="AS248" s="79"/>
      <c r="AT248" s="322"/>
      <c r="AU248" s="325">
        <f t="shared" si="76"/>
        <v>0</v>
      </c>
      <c r="AV248" s="90">
        <f t="shared" si="86"/>
        <v>0</v>
      </c>
      <c r="AW248" s="324">
        <f t="shared" si="77"/>
        <v>0</v>
      </c>
      <c r="AX248" s="80">
        <f t="shared" si="87"/>
        <v>0</v>
      </c>
      <c r="AY248" s="326">
        <f t="shared" si="78"/>
        <v>0</v>
      </c>
      <c r="AZ248" s="80">
        <f t="shared" si="79"/>
        <v>0</v>
      </c>
    </row>
    <row r="249" spans="1:52" s="96" customFormat="1">
      <c r="A249" s="194" t="s">
        <v>903</v>
      </c>
      <c r="B249" s="194" t="s">
        <v>15</v>
      </c>
      <c r="C249" s="225">
        <v>159090</v>
      </c>
      <c r="D249" s="196">
        <v>14</v>
      </c>
      <c r="E249" s="162" t="s">
        <v>442</v>
      </c>
      <c r="F249" s="163" t="s">
        <v>442</v>
      </c>
      <c r="G249" s="79"/>
      <c r="H249" s="322"/>
      <c r="I249" s="79"/>
      <c r="J249" s="349"/>
      <c r="K249" s="79"/>
      <c r="L249" s="349"/>
      <c r="M249" s="79"/>
      <c r="N249" s="349"/>
      <c r="O249" s="323">
        <f t="shared" si="70"/>
        <v>0</v>
      </c>
      <c r="P249" s="638">
        <f t="shared" si="80"/>
        <v>0</v>
      </c>
      <c r="Q249" s="349"/>
      <c r="R249" s="90">
        <f t="shared" si="84"/>
        <v>0</v>
      </c>
      <c r="S249" s="324">
        <f t="shared" si="71"/>
        <v>0</v>
      </c>
      <c r="T249" s="638">
        <f t="shared" si="81"/>
        <v>0</v>
      </c>
      <c r="U249" s="349"/>
      <c r="V249" s="80">
        <f t="shared" si="85"/>
        <v>0</v>
      </c>
      <c r="W249" s="79"/>
      <c r="X249" s="322"/>
      <c r="Y249" s="79"/>
      <c r="Z249" s="322"/>
      <c r="AA249" s="79"/>
      <c r="AB249" s="322"/>
      <c r="AC249" s="79"/>
      <c r="AD249" s="322"/>
      <c r="AE249" s="323">
        <f t="shared" si="72"/>
        <v>0</v>
      </c>
      <c r="AF249" s="638">
        <f t="shared" si="82"/>
        <v>0</v>
      </c>
      <c r="AG249" s="322"/>
      <c r="AH249" s="90">
        <f t="shared" si="73"/>
        <v>0</v>
      </c>
      <c r="AI249" s="80">
        <f t="shared" si="74"/>
        <v>0</v>
      </c>
      <c r="AJ249" s="638">
        <f t="shared" si="83"/>
        <v>0</v>
      </c>
      <c r="AK249" s="322"/>
      <c r="AL249" s="80">
        <f t="shared" si="75"/>
        <v>0</v>
      </c>
      <c r="AM249" s="79"/>
      <c r="AN249" s="322"/>
      <c r="AO249" s="79"/>
      <c r="AP249" s="322"/>
      <c r="AQ249" s="79"/>
      <c r="AR249" s="322"/>
      <c r="AS249" s="79"/>
      <c r="AT249" s="322"/>
      <c r="AU249" s="325">
        <f t="shared" si="76"/>
        <v>0</v>
      </c>
      <c r="AV249" s="90">
        <f t="shared" si="86"/>
        <v>0</v>
      </c>
      <c r="AW249" s="324">
        <f t="shared" si="77"/>
        <v>0</v>
      </c>
      <c r="AX249" s="80">
        <f t="shared" si="87"/>
        <v>0</v>
      </c>
      <c r="AY249" s="326">
        <f t="shared" si="78"/>
        <v>0</v>
      </c>
      <c r="AZ249" s="80">
        <f t="shared" si="79"/>
        <v>0</v>
      </c>
    </row>
    <row r="250" spans="1:52" s="96" customFormat="1">
      <c r="A250" s="194" t="s">
        <v>903</v>
      </c>
      <c r="B250" s="194" t="s">
        <v>16</v>
      </c>
      <c r="C250" s="225">
        <v>159258</v>
      </c>
      <c r="D250" s="196">
        <v>14</v>
      </c>
      <c r="E250" s="162" t="s">
        <v>442</v>
      </c>
      <c r="F250" s="163" t="s">
        <v>442</v>
      </c>
      <c r="G250" s="79"/>
      <c r="H250" s="322"/>
      <c r="I250" s="79"/>
      <c r="J250" s="349"/>
      <c r="K250" s="79"/>
      <c r="L250" s="349"/>
      <c r="M250" s="79"/>
      <c r="N250" s="349"/>
      <c r="O250" s="323">
        <f t="shared" si="70"/>
        <v>0</v>
      </c>
      <c r="P250" s="638">
        <f t="shared" si="80"/>
        <v>0</v>
      </c>
      <c r="Q250" s="349"/>
      <c r="R250" s="90">
        <f t="shared" si="84"/>
        <v>0</v>
      </c>
      <c r="S250" s="324">
        <f t="shared" si="71"/>
        <v>0</v>
      </c>
      <c r="T250" s="638">
        <f t="shared" si="81"/>
        <v>0</v>
      </c>
      <c r="U250" s="349"/>
      <c r="V250" s="80">
        <f t="shared" si="85"/>
        <v>0</v>
      </c>
      <c r="W250" s="79"/>
      <c r="X250" s="322"/>
      <c r="Y250" s="79"/>
      <c r="Z250" s="322"/>
      <c r="AA250" s="79"/>
      <c r="AB250" s="322"/>
      <c r="AC250" s="79"/>
      <c r="AD250" s="322"/>
      <c r="AE250" s="323">
        <f t="shared" si="72"/>
        <v>0</v>
      </c>
      <c r="AF250" s="638">
        <f t="shared" si="82"/>
        <v>0</v>
      </c>
      <c r="AG250" s="322"/>
      <c r="AH250" s="90">
        <f t="shared" si="73"/>
        <v>0</v>
      </c>
      <c r="AI250" s="80">
        <f t="shared" si="74"/>
        <v>0</v>
      </c>
      <c r="AJ250" s="638">
        <f t="shared" si="83"/>
        <v>0</v>
      </c>
      <c r="AK250" s="322"/>
      <c r="AL250" s="80">
        <f t="shared" si="75"/>
        <v>0</v>
      </c>
      <c r="AM250" s="79"/>
      <c r="AN250" s="322"/>
      <c r="AO250" s="79"/>
      <c r="AP250" s="322"/>
      <c r="AQ250" s="79"/>
      <c r="AR250" s="322"/>
      <c r="AS250" s="79"/>
      <c r="AT250" s="322"/>
      <c r="AU250" s="325">
        <f t="shared" si="76"/>
        <v>0</v>
      </c>
      <c r="AV250" s="90">
        <f t="shared" si="86"/>
        <v>0</v>
      </c>
      <c r="AW250" s="324">
        <f t="shared" si="77"/>
        <v>0</v>
      </c>
      <c r="AX250" s="80">
        <f t="shared" si="87"/>
        <v>0</v>
      </c>
      <c r="AY250" s="326">
        <f t="shared" si="78"/>
        <v>0</v>
      </c>
      <c r="AZ250" s="80">
        <f t="shared" si="79"/>
        <v>0</v>
      </c>
    </row>
    <row r="251" spans="1:52" s="96" customFormat="1">
      <c r="A251" s="194" t="s">
        <v>903</v>
      </c>
      <c r="B251" s="194" t="s">
        <v>17</v>
      </c>
      <c r="C251" s="225">
        <v>160214</v>
      </c>
      <c r="D251" s="196">
        <v>14</v>
      </c>
      <c r="E251" s="162" t="s">
        <v>442</v>
      </c>
      <c r="F251" s="163" t="s">
        <v>442</v>
      </c>
      <c r="G251" s="79"/>
      <c r="H251" s="322"/>
      <c r="I251" s="79"/>
      <c r="J251" s="322"/>
      <c r="K251" s="79"/>
      <c r="L251" s="322"/>
      <c r="M251" s="79"/>
      <c r="N251" s="322"/>
      <c r="O251" s="323">
        <f t="shared" si="70"/>
        <v>0</v>
      </c>
      <c r="P251" s="638">
        <f t="shared" si="80"/>
        <v>0</v>
      </c>
      <c r="Q251" s="322"/>
      <c r="R251" s="90">
        <f t="shared" si="84"/>
        <v>0</v>
      </c>
      <c r="S251" s="324">
        <f t="shared" si="71"/>
        <v>0</v>
      </c>
      <c r="T251" s="638">
        <f t="shared" si="81"/>
        <v>0</v>
      </c>
      <c r="U251" s="322"/>
      <c r="V251" s="80">
        <f t="shared" si="85"/>
        <v>0</v>
      </c>
      <c r="W251" s="79"/>
      <c r="X251" s="322"/>
      <c r="Y251" s="79"/>
      <c r="Z251" s="322"/>
      <c r="AA251" s="79"/>
      <c r="AB251" s="322"/>
      <c r="AC251" s="79"/>
      <c r="AD251" s="322"/>
      <c r="AE251" s="323">
        <f t="shared" si="72"/>
        <v>0</v>
      </c>
      <c r="AF251" s="638">
        <f t="shared" si="82"/>
        <v>0</v>
      </c>
      <c r="AG251" s="322"/>
      <c r="AH251" s="90">
        <f t="shared" si="73"/>
        <v>0</v>
      </c>
      <c r="AI251" s="80">
        <f t="shared" si="74"/>
        <v>0</v>
      </c>
      <c r="AJ251" s="638">
        <f t="shared" si="83"/>
        <v>0</v>
      </c>
      <c r="AK251" s="322"/>
      <c r="AL251" s="80">
        <f t="shared" si="75"/>
        <v>0</v>
      </c>
      <c r="AM251" s="79"/>
      <c r="AN251" s="322"/>
      <c r="AO251" s="79"/>
      <c r="AP251" s="322"/>
      <c r="AQ251" s="79"/>
      <c r="AR251" s="322"/>
      <c r="AS251" s="79"/>
      <c r="AT251" s="322"/>
      <c r="AU251" s="325">
        <f t="shared" si="76"/>
        <v>0</v>
      </c>
      <c r="AV251" s="90">
        <f t="shared" si="86"/>
        <v>0</v>
      </c>
      <c r="AW251" s="324">
        <f t="shared" si="77"/>
        <v>0</v>
      </c>
      <c r="AX251" s="80">
        <f t="shared" si="87"/>
        <v>0</v>
      </c>
      <c r="AY251" s="326">
        <f t="shared" si="78"/>
        <v>0</v>
      </c>
      <c r="AZ251" s="80">
        <f t="shared" si="79"/>
        <v>0</v>
      </c>
    </row>
    <row r="252" spans="1:52" s="96" customFormat="1">
      <c r="A252" s="194" t="s">
        <v>903</v>
      </c>
      <c r="B252" s="194" t="s">
        <v>18</v>
      </c>
      <c r="C252" s="225">
        <v>159443</v>
      </c>
      <c r="D252" s="196">
        <v>14</v>
      </c>
      <c r="E252" s="162" t="s">
        <v>442</v>
      </c>
      <c r="F252" s="163" t="s">
        <v>442</v>
      </c>
      <c r="G252" s="79"/>
      <c r="H252" s="322"/>
      <c r="I252" s="79"/>
      <c r="J252" s="322"/>
      <c r="K252" s="79"/>
      <c r="L252" s="322"/>
      <c r="M252" s="79"/>
      <c r="N252" s="322"/>
      <c r="O252" s="323">
        <f t="shared" si="70"/>
        <v>0</v>
      </c>
      <c r="P252" s="638">
        <f t="shared" si="80"/>
        <v>0</v>
      </c>
      <c r="Q252" s="322"/>
      <c r="R252" s="90">
        <f t="shared" si="84"/>
        <v>0</v>
      </c>
      <c r="S252" s="324">
        <f t="shared" si="71"/>
        <v>0</v>
      </c>
      <c r="T252" s="638">
        <f t="shared" si="81"/>
        <v>0</v>
      </c>
      <c r="U252" s="322"/>
      <c r="V252" s="80">
        <f t="shared" si="85"/>
        <v>0</v>
      </c>
      <c r="W252" s="79"/>
      <c r="X252" s="322"/>
      <c r="Y252" s="79"/>
      <c r="Z252" s="322"/>
      <c r="AA252" s="79"/>
      <c r="AB252" s="322"/>
      <c r="AC252" s="79"/>
      <c r="AD252" s="322"/>
      <c r="AE252" s="323">
        <f t="shared" si="72"/>
        <v>0</v>
      </c>
      <c r="AF252" s="638">
        <f t="shared" si="82"/>
        <v>0</v>
      </c>
      <c r="AG252" s="322"/>
      <c r="AH252" s="90">
        <f t="shared" si="73"/>
        <v>0</v>
      </c>
      <c r="AI252" s="80">
        <f t="shared" si="74"/>
        <v>0</v>
      </c>
      <c r="AJ252" s="638">
        <f t="shared" si="83"/>
        <v>0</v>
      </c>
      <c r="AK252" s="322"/>
      <c r="AL252" s="80">
        <f t="shared" si="75"/>
        <v>0</v>
      </c>
      <c r="AM252" s="79"/>
      <c r="AN252" s="322"/>
      <c r="AO252" s="79"/>
      <c r="AP252" s="322"/>
      <c r="AQ252" s="79"/>
      <c r="AR252" s="322"/>
      <c r="AS252" s="79"/>
      <c r="AT252" s="322"/>
      <c r="AU252" s="325">
        <f t="shared" si="76"/>
        <v>0</v>
      </c>
      <c r="AV252" s="90">
        <f t="shared" si="86"/>
        <v>0</v>
      </c>
      <c r="AW252" s="324">
        <f t="shared" si="77"/>
        <v>0</v>
      </c>
      <c r="AX252" s="80">
        <f t="shared" si="87"/>
        <v>0</v>
      </c>
      <c r="AY252" s="326">
        <f t="shared" si="78"/>
        <v>0</v>
      </c>
      <c r="AZ252" s="80">
        <f t="shared" si="79"/>
        <v>0</v>
      </c>
    </row>
    <row r="253" spans="1:52" s="96" customFormat="1">
      <c r="A253" s="194" t="s">
        <v>903</v>
      </c>
      <c r="B253" s="194" t="s">
        <v>19</v>
      </c>
      <c r="C253" s="225">
        <v>160719</v>
      </c>
      <c r="D253" s="196">
        <v>14</v>
      </c>
      <c r="E253" s="162" t="s">
        <v>442</v>
      </c>
      <c r="F253" s="163" t="s">
        <v>442</v>
      </c>
      <c r="G253" s="79"/>
      <c r="H253" s="322"/>
      <c r="I253" s="79"/>
      <c r="J253" s="322"/>
      <c r="K253" s="79"/>
      <c r="L253" s="322"/>
      <c r="M253" s="79"/>
      <c r="N253" s="322"/>
      <c r="O253" s="323">
        <f t="shared" si="70"/>
        <v>0</v>
      </c>
      <c r="P253" s="638">
        <f t="shared" si="80"/>
        <v>0</v>
      </c>
      <c r="Q253" s="322"/>
      <c r="R253" s="90">
        <f t="shared" si="84"/>
        <v>0</v>
      </c>
      <c r="S253" s="324">
        <f t="shared" si="71"/>
        <v>0</v>
      </c>
      <c r="T253" s="638">
        <f t="shared" si="81"/>
        <v>0</v>
      </c>
      <c r="U253" s="322"/>
      <c r="V253" s="80">
        <f t="shared" si="85"/>
        <v>0</v>
      </c>
      <c r="W253" s="79"/>
      <c r="X253" s="322"/>
      <c r="Y253" s="79"/>
      <c r="Z253" s="322"/>
      <c r="AA253" s="79"/>
      <c r="AB253" s="322"/>
      <c r="AC253" s="79"/>
      <c r="AD253" s="322"/>
      <c r="AE253" s="323">
        <f t="shared" si="72"/>
        <v>0</v>
      </c>
      <c r="AF253" s="638">
        <f t="shared" si="82"/>
        <v>0</v>
      </c>
      <c r="AG253" s="322"/>
      <c r="AH253" s="90">
        <f t="shared" si="73"/>
        <v>0</v>
      </c>
      <c r="AI253" s="80">
        <f t="shared" si="74"/>
        <v>0</v>
      </c>
      <c r="AJ253" s="638">
        <f t="shared" si="83"/>
        <v>0</v>
      </c>
      <c r="AK253" s="322"/>
      <c r="AL253" s="80">
        <f t="shared" si="75"/>
        <v>0</v>
      </c>
      <c r="AM253" s="79"/>
      <c r="AN253" s="322"/>
      <c r="AO253" s="79"/>
      <c r="AP253" s="322"/>
      <c r="AQ253" s="79"/>
      <c r="AR253" s="322"/>
      <c r="AS253" s="79"/>
      <c r="AT253" s="322"/>
      <c r="AU253" s="325">
        <f t="shared" si="76"/>
        <v>0</v>
      </c>
      <c r="AV253" s="90">
        <f t="shared" si="86"/>
        <v>0</v>
      </c>
      <c r="AW253" s="324">
        <f t="shared" si="77"/>
        <v>0</v>
      </c>
      <c r="AX253" s="80">
        <f t="shared" si="87"/>
        <v>0</v>
      </c>
      <c r="AY253" s="326">
        <f t="shared" si="78"/>
        <v>0</v>
      </c>
      <c r="AZ253" s="80">
        <f t="shared" si="79"/>
        <v>0</v>
      </c>
    </row>
    <row r="254" spans="1:52" s="96" customFormat="1">
      <c r="A254" s="194" t="s">
        <v>903</v>
      </c>
      <c r="B254" s="194" t="s">
        <v>20</v>
      </c>
      <c r="C254" s="225">
        <v>160843</v>
      </c>
      <c r="D254" s="196">
        <v>14</v>
      </c>
      <c r="E254" s="162" t="s">
        <v>442</v>
      </c>
      <c r="F254" s="163" t="s">
        <v>442</v>
      </c>
      <c r="G254" s="79"/>
      <c r="H254" s="322"/>
      <c r="I254" s="79"/>
      <c r="J254" s="322"/>
      <c r="K254" s="79"/>
      <c r="L254" s="322"/>
      <c r="M254" s="79"/>
      <c r="N254" s="322"/>
      <c r="O254" s="323">
        <f t="shared" si="70"/>
        <v>0</v>
      </c>
      <c r="P254" s="638">
        <f t="shared" si="80"/>
        <v>0</v>
      </c>
      <c r="Q254" s="322"/>
      <c r="R254" s="90">
        <f t="shared" si="84"/>
        <v>0</v>
      </c>
      <c r="S254" s="324">
        <f t="shared" si="71"/>
        <v>0</v>
      </c>
      <c r="T254" s="638">
        <f t="shared" si="81"/>
        <v>0</v>
      </c>
      <c r="U254" s="322"/>
      <c r="V254" s="80">
        <f t="shared" si="85"/>
        <v>0</v>
      </c>
      <c r="W254" s="79"/>
      <c r="X254" s="322"/>
      <c r="Y254" s="79"/>
      <c r="Z254" s="322"/>
      <c r="AA254" s="79"/>
      <c r="AB254" s="322"/>
      <c r="AC254" s="79"/>
      <c r="AD254" s="322"/>
      <c r="AE254" s="323">
        <f t="shared" si="72"/>
        <v>0</v>
      </c>
      <c r="AF254" s="638">
        <f t="shared" si="82"/>
        <v>0</v>
      </c>
      <c r="AG254" s="322"/>
      <c r="AH254" s="90">
        <f t="shared" si="73"/>
        <v>0</v>
      </c>
      <c r="AI254" s="80">
        <f t="shared" si="74"/>
        <v>0</v>
      </c>
      <c r="AJ254" s="638">
        <f t="shared" si="83"/>
        <v>0</v>
      </c>
      <c r="AK254" s="322"/>
      <c r="AL254" s="80">
        <f t="shared" si="75"/>
        <v>0</v>
      </c>
      <c r="AM254" s="79"/>
      <c r="AN254" s="322"/>
      <c r="AO254" s="79"/>
      <c r="AP254" s="322"/>
      <c r="AQ254" s="79"/>
      <c r="AR254" s="322"/>
      <c r="AS254" s="79"/>
      <c r="AT254" s="322"/>
      <c r="AU254" s="325">
        <f t="shared" si="76"/>
        <v>0</v>
      </c>
      <c r="AV254" s="90">
        <f t="shared" si="86"/>
        <v>0</v>
      </c>
      <c r="AW254" s="324">
        <f t="shared" si="77"/>
        <v>0</v>
      </c>
      <c r="AX254" s="80">
        <f t="shared" si="87"/>
        <v>0</v>
      </c>
      <c r="AY254" s="326">
        <f t="shared" si="78"/>
        <v>0</v>
      </c>
      <c r="AZ254" s="80">
        <f t="shared" si="79"/>
        <v>0</v>
      </c>
    </row>
    <row r="255" spans="1:52" s="96" customFormat="1">
      <c r="A255" s="194" t="s">
        <v>903</v>
      </c>
      <c r="B255" s="194" t="s">
        <v>21</v>
      </c>
      <c r="C255" s="225">
        <v>159692</v>
      </c>
      <c r="D255" s="198">
        <v>14</v>
      </c>
      <c r="E255" s="162" t="s">
        <v>442</v>
      </c>
      <c r="F255" s="163" t="s">
        <v>442</v>
      </c>
      <c r="G255" s="79"/>
      <c r="H255" s="322"/>
      <c r="I255" s="79"/>
      <c r="J255" s="322"/>
      <c r="K255" s="79"/>
      <c r="L255" s="322"/>
      <c r="M255" s="79"/>
      <c r="N255" s="322"/>
      <c r="O255" s="323">
        <f t="shared" si="70"/>
        <v>0</v>
      </c>
      <c r="P255" s="638">
        <f t="shared" si="80"/>
        <v>0</v>
      </c>
      <c r="Q255" s="322"/>
      <c r="R255" s="90">
        <f t="shared" si="84"/>
        <v>0</v>
      </c>
      <c r="S255" s="324">
        <f t="shared" si="71"/>
        <v>0</v>
      </c>
      <c r="T255" s="638">
        <f t="shared" si="81"/>
        <v>0</v>
      </c>
      <c r="U255" s="322"/>
      <c r="V255" s="80">
        <f t="shared" si="85"/>
        <v>0</v>
      </c>
      <c r="W255" s="79"/>
      <c r="X255" s="322"/>
      <c r="Y255" s="79"/>
      <c r="Z255" s="322"/>
      <c r="AA255" s="79"/>
      <c r="AB255" s="322"/>
      <c r="AC255" s="79"/>
      <c r="AD255" s="322"/>
      <c r="AE255" s="323">
        <f t="shared" si="72"/>
        <v>0</v>
      </c>
      <c r="AF255" s="638">
        <f t="shared" si="82"/>
        <v>0</v>
      </c>
      <c r="AG255" s="322"/>
      <c r="AH255" s="90">
        <f t="shared" si="73"/>
        <v>0</v>
      </c>
      <c r="AI255" s="80">
        <f t="shared" si="74"/>
        <v>0</v>
      </c>
      <c r="AJ255" s="638">
        <f t="shared" si="83"/>
        <v>0</v>
      </c>
      <c r="AK255" s="322"/>
      <c r="AL255" s="80">
        <f t="shared" si="75"/>
        <v>0</v>
      </c>
      <c r="AM255" s="79"/>
      <c r="AN255" s="322"/>
      <c r="AO255" s="79"/>
      <c r="AP255" s="322"/>
      <c r="AQ255" s="79"/>
      <c r="AR255" s="322"/>
      <c r="AS255" s="79"/>
      <c r="AT255" s="322"/>
      <c r="AU255" s="325">
        <f t="shared" si="76"/>
        <v>0</v>
      </c>
      <c r="AV255" s="90">
        <f t="shared" si="86"/>
        <v>0</v>
      </c>
      <c r="AW255" s="324">
        <f t="shared" si="77"/>
        <v>0</v>
      </c>
      <c r="AX255" s="80">
        <f t="shared" si="87"/>
        <v>0</v>
      </c>
      <c r="AY255" s="326">
        <f t="shared" si="78"/>
        <v>0</v>
      </c>
      <c r="AZ255" s="80">
        <f t="shared" si="79"/>
        <v>0</v>
      </c>
    </row>
    <row r="256" spans="1:52" s="96" customFormat="1">
      <c r="A256" s="194" t="s">
        <v>903</v>
      </c>
      <c r="B256" s="194" t="s">
        <v>22</v>
      </c>
      <c r="C256" s="225">
        <v>159249</v>
      </c>
      <c r="D256" s="196">
        <v>14</v>
      </c>
      <c r="E256" s="162" t="s">
        <v>442</v>
      </c>
      <c r="F256" s="163" t="s">
        <v>442</v>
      </c>
      <c r="G256" s="79"/>
      <c r="H256" s="322"/>
      <c r="I256" s="79"/>
      <c r="J256" s="322"/>
      <c r="K256" s="79"/>
      <c r="L256" s="322"/>
      <c r="M256" s="79"/>
      <c r="N256" s="322"/>
      <c r="O256" s="323">
        <f t="shared" si="70"/>
        <v>0</v>
      </c>
      <c r="P256" s="638">
        <f t="shared" si="80"/>
        <v>0</v>
      </c>
      <c r="Q256" s="322"/>
      <c r="R256" s="90">
        <f t="shared" si="84"/>
        <v>0</v>
      </c>
      <c r="S256" s="324">
        <f t="shared" si="71"/>
        <v>0</v>
      </c>
      <c r="T256" s="638">
        <f t="shared" si="81"/>
        <v>0</v>
      </c>
      <c r="U256" s="322"/>
      <c r="V256" s="80">
        <f t="shared" si="85"/>
        <v>0</v>
      </c>
      <c r="W256" s="79"/>
      <c r="X256" s="322"/>
      <c r="Y256" s="79"/>
      <c r="Z256" s="322"/>
      <c r="AA256" s="79"/>
      <c r="AB256" s="322"/>
      <c r="AC256" s="79"/>
      <c r="AD256" s="322"/>
      <c r="AE256" s="323">
        <f t="shared" si="72"/>
        <v>0</v>
      </c>
      <c r="AF256" s="638">
        <f t="shared" si="82"/>
        <v>0</v>
      </c>
      <c r="AG256" s="322"/>
      <c r="AH256" s="90">
        <f t="shared" si="73"/>
        <v>0</v>
      </c>
      <c r="AI256" s="80">
        <f t="shared" si="74"/>
        <v>0</v>
      </c>
      <c r="AJ256" s="638">
        <f t="shared" si="83"/>
        <v>0</v>
      </c>
      <c r="AK256" s="322"/>
      <c r="AL256" s="80">
        <f t="shared" si="75"/>
        <v>0</v>
      </c>
      <c r="AM256" s="79"/>
      <c r="AN256" s="322"/>
      <c r="AO256" s="79"/>
      <c r="AP256" s="322"/>
      <c r="AQ256" s="79"/>
      <c r="AR256" s="322"/>
      <c r="AS256" s="79"/>
      <c r="AT256" s="322"/>
      <c r="AU256" s="325">
        <f t="shared" si="76"/>
        <v>0</v>
      </c>
      <c r="AV256" s="90">
        <f t="shared" si="86"/>
        <v>0</v>
      </c>
      <c r="AW256" s="324">
        <f t="shared" si="77"/>
        <v>0</v>
      </c>
      <c r="AX256" s="80">
        <f t="shared" si="87"/>
        <v>0</v>
      </c>
      <c r="AY256" s="326">
        <f t="shared" si="78"/>
        <v>0</v>
      </c>
      <c r="AZ256" s="80">
        <f t="shared" si="79"/>
        <v>0</v>
      </c>
    </row>
    <row r="257" spans="1:52" s="96" customFormat="1">
      <c r="A257" s="194" t="s">
        <v>903</v>
      </c>
      <c r="B257" s="195" t="s">
        <v>23</v>
      </c>
      <c r="C257" s="226">
        <v>159823</v>
      </c>
      <c r="D257" s="197">
        <v>14</v>
      </c>
      <c r="E257" s="162" t="s">
        <v>442</v>
      </c>
      <c r="F257" s="163" t="s">
        <v>442</v>
      </c>
      <c r="G257" s="79"/>
      <c r="H257" s="322"/>
      <c r="I257" s="79"/>
      <c r="J257" s="322"/>
      <c r="K257" s="79"/>
      <c r="L257" s="322"/>
      <c r="M257" s="79"/>
      <c r="N257" s="322"/>
      <c r="O257" s="323">
        <f t="shared" si="70"/>
        <v>0</v>
      </c>
      <c r="P257" s="638">
        <f t="shared" si="80"/>
        <v>0</v>
      </c>
      <c r="Q257" s="322"/>
      <c r="R257" s="90">
        <f t="shared" si="84"/>
        <v>0</v>
      </c>
      <c r="S257" s="324">
        <f t="shared" si="71"/>
        <v>0</v>
      </c>
      <c r="T257" s="638">
        <f t="shared" si="81"/>
        <v>0</v>
      </c>
      <c r="U257" s="322"/>
      <c r="V257" s="80">
        <f t="shared" si="85"/>
        <v>0</v>
      </c>
      <c r="W257" s="79"/>
      <c r="X257" s="322"/>
      <c r="Y257" s="79"/>
      <c r="Z257" s="322"/>
      <c r="AA257" s="79"/>
      <c r="AB257" s="322"/>
      <c r="AC257" s="79"/>
      <c r="AD257" s="322"/>
      <c r="AE257" s="323">
        <f t="shared" si="72"/>
        <v>0</v>
      </c>
      <c r="AF257" s="638">
        <f t="shared" si="82"/>
        <v>0</v>
      </c>
      <c r="AG257" s="322"/>
      <c r="AH257" s="90">
        <f t="shared" si="73"/>
        <v>0</v>
      </c>
      <c r="AI257" s="80">
        <f t="shared" si="74"/>
        <v>0</v>
      </c>
      <c r="AJ257" s="638">
        <f t="shared" si="83"/>
        <v>0</v>
      </c>
      <c r="AK257" s="322"/>
      <c r="AL257" s="80">
        <f t="shared" si="75"/>
        <v>0</v>
      </c>
      <c r="AM257" s="79"/>
      <c r="AN257" s="322"/>
      <c r="AO257" s="79"/>
      <c r="AP257" s="322"/>
      <c r="AQ257" s="79"/>
      <c r="AR257" s="322"/>
      <c r="AS257" s="79"/>
      <c r="AT257" s="322"/>
      <c r="AU257" s="325">
        <f t="shared" si="76"/>
        <v>0</v>
      </c>
      <c r="AV257" s="90">
        <f t="shared" si="86"/>
        <v>0</v>
      </c>
      <c r="AW257" s="324">
        <f t="shared" si="77"/>
        <v>0</v>
      </c>
      <c r="AX257" s="80">
        <f t="shared" si="87"/>
        <v>0</v>
      </c>
      <c r="AY257" s="326">
        <f t="shared" si="78"/>
        <v>0</v>
      </c>
      <c r="AZ257" s="80">
        <f t="shared" si="79"/>
        <v>0</v>
      </c>
    </row>
    <row r="258" spans="1:52" s="96" customFormat="1">
      <c r="A258" s="194" t="s">
        <v>903</v>
      </c>
      <c r="B258" s="194" t="s">
        <v>24</v>
      </c>
      <c r="C258" s="225">
        <v>159984</v>
      </c>
      <c r="D258" s="196">
        <v>14</v>
      </c>
      <c r="E258" s="162" t="s">
        <v>442</v>
      </c>
      <c r="F258" s="163" t="s">
        <v>442</v>
      </c>
      <c r="G258" s="79"/>
      <c r="H258" s="322"/>
      <c r="I258" s="79"/>
      <c r="J258" s="322"/>
      <c r="K258" s="79"/>
      <c r="L258" s="322"/>
      <c r="M258" s="79"/>
      <c r="N258" s="322"/>
      <c r="O258" s="323">
        <f t="shared" si="70"/>
        <v>0</v>
      </c>
      <c r="P258" s="638">
        <f t="shared" si="80"/>
        <v>0</v>
      </c>
      <c r="Q258" s="322"/>
      <c r="R258" s="90">
        <f t="shared" si="84"/>
        <v>0</v>
      </c>
      <c r="S258" s="324">
        <f t="shared" si="71"/>
        <v>0</v>
      </c>
      <c r="T258" s="638">
        <f t="shared" si="81"/>
        <v>0</v>
      </c>
      <c r="U258" s="322"/>
      <c r="V258" s="80">
        <f t="shared" si="85"/>
        <v>0</v>
      </c>
      <c r="W258" s="79"/>
      <c r="X258" s="322"/>
      <c r="Y258" s="79"/>
      <c r="Z258" s="322"/>
      <c r="AA258" s="79"/>
      <c r="AB258" s="322"/>
      <c r="AC258" s="79"/>
      <c r="AD258" s="322"/>
      <c r="AE258" s="323">
        <f t="shared" si="72"/>
        <v>0</v>
      </c>
      <c r="AF258" s="638">
        <f t="shared" si="82"/>
        <v>0</v>
      </c>
      <c r="AG258" s="322"/>
      <c r="AH258" s="90">
        <f t="shared" si="73"/>
        <v>0</v>
      </c>
      <c r="AI258" s="80">
        <f t="shared" si="74"/>
        <v>0</v>
      </c>
      <c r="AJ258" s="638">
        <f t="shared" si="83"/>
        <v>0</v>
      </c>
      <c r="AK258" s="322"/>
      <c r="AL258" s="80">
        <f t="shared" si="75"/>
        <v>0</v>
      </c>
      <c r="AM258" s="79"/>
      <c r="AN258" s="322"/>
      <c r="AO258" s="79"/>
      <c r="AP258" s="322"/>
      <c r="AQ258" s="79"/>
      <c r="AR258" s="322"/>
      <c r="AS258" s="79"/>
      <c r="AT258" s="322"/>
      <c r="AU258" s="325">
        <f t="shared" si="76"/>
        <v>0</v>
      </c>
      <c r="AV258" s="90">
        <f t="shared" si="86"/>
        <v>0</v>
      </c>
      <c r="AW258" s="324">
        <f t="shared" si="77"/>
        <v>0</v>
      </c>
      <c r="AX258" s="80">
        <f t="shared" si="87"/>
        <v>0</v>
      </c>
      <c r="AY258" s="326">
        <f t="shared" si="78"/>
        <v>0</v>
      </c>
      <c r="AZ258" s="80">
        <f t="shared" si="79"/>
        <v>0</v>
      </c>
    </row>
    <row r="259" spans="1:52" s="96" customFormat="1">
      <c r="A259" s="194" t="s">
        <v>903</v>
      </c>
      <c r="B259" s="194" t="s">
        <v>25</v>
      </c>
      <c r="C259" s="225">
        <v>160001</v>
      </c>
      <c r="D259" s="196">
        <v>14</v>
      </c>
      <c r="E259" s="162" t="s">
        <v>442</v>
      </c>
      <c r="F259" s="163" t="s">
        <v>442</v>
      </c>
      <c r="G259" s="79"/>
      <c r="H259" s="322"/>
      <c r="I259" s="79"/>
      <c r="J259" s="322"/>
      <c r="K259" s="79"/>
      <c r="L259" s="322"/>
      <c r="M259" s="79"/>
      <c r="N259" s="322"/>
      <c r="O259" s="323">
        <f t="shared" si="70"/>
        <v>0</v>
      </c>
      <c r="P259" s="638">
        <f t="shared" si="80"/>
        <v>0</v>
      </c>
      <c r="Q259" s="322"/>
      <c r="R259" s="90">
        <f t="shared" si="84"/>
        <v>0</v>
      </c>
      <c r="S259" s="324">
        <f t="shared" si="71"/>
        <v>0</v>
      </c>
      <c r="T259" s="638">
        <f t="shared" si="81"/>
        <v>0</v>
      </c>
      <c r="U259" s="322"/>
      <c r="V259" s="80">
        <f t="shared" si="85"/>
        <v>0</v>
      </c>
      <c r="W259" s="79"/>
      <c r="X259" s="322"/>
      <c r="Y259" s="79"/>
      <c r="Z259" s="322"/>
      <c r="AA259" s="79"/>
      <c r="AB259" s="322"/>
      <c r="AC259" s="79"/>
      <c r="AD259" s="322"/>
      <c r="AE259" s="323">
        <f t="shared" si="72"/>
        <v>0</v>
      </c>
      <c r="AF259" s="638">
        <f t="shared" si="82"/>
        <v>0</v>
      </c>
      <c r="AG259" s="322"/>
      <c r="AH259" s="90">
        <f t="shared" si="73"/>
        <v>0</v>
      </c>
      <c r="AI259" s="80">
        <f t="shared" si="74"/>
        <v>0</v>
      </c>
      <c r="AJ259" s="638">
        <f t="shared" si="83"/>
        <v>0</v>
      </c>
      <c r="AK259" s="322"/>
      <c r="AL259" s="80">
        <f t="shared" si="75"/>
        <v>0</v>
      </c>
      <c r="AM259" s="79"/>
      <c r="AN259" s="322"/>
      <c r="AO259" s="79"/>
      <c r="AP259" s="322"/>
      <c r="AQ259" s="79"/>
      <c r="AR259" s="322"/>
      <c r="AS259" s="79"/>
      <c r="AT259" s="322"/>
      <c r="AU259" s="325">
        <f t="shared" si="76"/>
        <v>0</v>
      </c>
      <c r="AV259" s="90">
        <f t="shared" si="86"/>
        <v>0</v>
      </c>
      <c r="AW259" s="324">
        <f t="shared" si="77"/>
        <v>0</v>
      </c>
      <c r="AX259" s="80">
        <f t="shared" si="87"/>
        <v>0</v>
      </c>
      <c r="AY259" s="326">
        <f t="shared" si="78"/>
        <v>0</v>
      </c>
      <c r="AZ259" s="80">
        <f t="shared" si="79"/>
        <v>0</v>
      </c>
    </row>
    <row r="260" spans="1:52" s="96" customFormat="1">
      <c r="A260" s="194" t="s">
        <v>903</v>
      </c>
      <c r="B260" s="194" t="s">
        <v>26</v>
      </c>
      <c r="C260" s="225">
        <v>160010</v>
      </c>
      <c r="D260" s="196">
        <v>14</v>
      </c>
      <c r="E260" s="162" t="s">
        <v>442</v>
      </c>
      <c r="F260" s="163" t="s">
        <v>442</v>
      </c>
      <c r="G260" s="79"/>
      <c r="H260" s="322"/>
      <c r="I260" s="79"/>
      <c r="J260" s="322"/>
      <c r="K260" s="79"/>
      <c r="L260" s="322"/>
      <c r="M260" s="79"/>
      <c r="N260" s="322"/>
      <c r="O260" s="323">
        <f t="shared" ref="O260:O323" si="88">SUM(G260,I260,K260,M260)</f>
        <v>0</v>
      </c>
      <c r="P260" s="638">
        <f t="shared" si="80"/>
        <v>0</v>
      </c>
      <c r="Q260" s="322"/>
      <c r="R260" s="90">
        <f t="shared" si="84"/>
        <v>0</v>
      </c>
      <c r="S260" s="324">
        <f t="shared" ref="S260:S323" si="89">SUM(H260,J260,L260,N260)</f>
        <v>0</v>
      </c>
      <c r="T260" s="638">
        <f t="shared" si="81"/>
        <v>0</v>
      </c>
      <c r="U260" s="322"/>
      <c r="V260" s="80">
        <f t="shared" si="85"/>
        <v>0</v>
      </c>
      <c r="W260" s="79"/>
      <c r="X260" s="322"/>
      <c r="Y260" s="79"/>
      <c r="Z260" s="322"/>
      <c r="AA260" s="79"/>
      <c r="AB260" s="322"/>
      <c r="AC260" s="79"/>
      <c r="AD260" s="322"/>
      <c r="AE260" s="323">
        <f t="shared" ref="AE260:AE323" si="90">SUM(W260,Y260,AA260,AC260)</f>
        <v>0</v>
      </c>
      <c r="AF260" s="638">
        <f t="shared" si="82"/>
        <v>0</v>
      </c>
      <c r="AG260" s="322"/>
      <c r="AH260" s="90">
        <f t="shared" ref="AH260:AH323" si="91">+AE260/900</f>
        <v>0</v>
      </c>
      <c r="AI260" s="80">
        <f t="shared" ref="AI260:AI323" si="92">SUM(X260,Z260,AB260,AD260)</f>
        <v>0</v>
      </c>
      <c r="AJ260" s="638">
        <f t="shared" si="83"/>
        <v>0</v>
      </c>
      <c r="AK260" s="322"/>
      <c r="AL260" s="80">
        <f t="shared" ref="AL260:AL323" si="93">+AI260/900</f>
        <v>0</v>
      </c>
      <c r="AM260" s="79"/>
      <c r="AN260" s="322"/>
      <c r="AO260" s="79"/>
      <c r="AP260" s="322"/>
      <c r="AQ260" s="79"/>
      <c r="AR260" s="322"/>
      <c r="AS260" s="79"/>
      <c r="AT260" s="322"/>
      <c r="AU260" s="325">
        <f t="shared" ref="AU260:AU323" si="94">SUM(AM260,AO260,AQ260,AS260)</f>
        <v>0</v>
      </c>
      <c r="AV260" s="90">
        <f t="shared" si="86"/>
        <v>0</v>
      </c>
      <c r="AW260" s="324">
        <f t="shared" ref="AW260:AW323" si="95">SUM(AN260,AP260,AR260,AT260)</f>
        <v>0</v>
      </c>
      <c r="AX260" s="80">
        <f t="shared" si="87"/>
        <v>0</v>
      </c>
      <c r="AY260" s="326">
        <f t="shared" ref="AY260:AY323" si="96">SUM(R260,AH260,AV260)</f>
        <v>0</v>
      </c>
      <c r="AZ260" s="80">
        <f t="shared" ref="AZ260:AZ323" si="97">SUM(V260,AL260,AX260)</f>
        <v>0</v>
      </c>
    </row>
    <row r="261" spans="1:52" s="96" customFormat="1">
      <c r="A261" s="194" t="s">
        <v>903</v>
      </c>
      <c r="B261" s="194" t="s">
        <v>27</v>
      </c>
      <c r="C261" s="225">
        <v>160047</v>
      </c>
      <c r="D261" s="196">
        <v>14</v>
      </c>
      <c r="E261" s="162" t="s">
        <v>442</v>
      </c>
      <c r="F261" s="163" t="s">
        <v>442</v>
      </c>
      <c r="G261" s="79"/>
      <c r="H261" s="322"/>
      <c r="I261" s="79"/>
      <c r="J261" s="322"/>
      <c r="K261" s="79"/>
      <c r="L261" s="322"/>
      <c r="M261" s="79"/>
      <c r="N261" s="322"/>
      <c r="O261" s="323">
        <f t="shared" si="88"/>
        <v>0</v>
      </c>
      <c r="P261" s="638">
        <f t="shared" ref="P261:P324" si="98">IF(Q261="—",0,O261)</f>
        <v>0</v>
      </c>
      <c r="Q261" s="322"/>
      <c r="R261" s="90">
        <f t="shared" si="84"/>
        <v>0</v>
      </c>
      <c r="S261" s="324">
        <f t="shared" si="89"/>
        <v>0</v>
      </c>
      <c r="T261" s="638">
        <f t="shared" ref="T261:T324" si="99">IF(U261="—",0,S261)</f>
        <v>0</v>
      </c>
      <c r="U261" s="322"/>
      <c r="V261" s="80">
        <f t="shared" si="85"/>
        <v>0</v>
      </c>
      <c r="W261" s="79"/>
      <c r="X261" s="322"/>
      <c r="Y261" s="79"/>
      <c r="Z261" s="322"/>
      <c r="AA261" s="79"/>
      <c r="AB261" s="322"/>
      <c r="AC261" s="79"/>
      <c r="AD261" s="322"/>
      <c r="AE261" s="323">
        <f t="shared" si="90"/>
        <v>0</v>
      </c>
      <c r="AF261" s="638">
        <f t="shared" ref="AF261:AF324" si="100">IF(AG261="—",0,AE261)</f>
        <v>0</v>
      </c>
      <c r="AG261" s="322"/>
      <c r="AH261" s="90">
        <f t="shared" si="91"/>
        <v>0</v>
      </c>
      <c r="AI261" s="80">
        <f t="shared" si="92"/>
        <v>0</v>
      </c>
      <c r="AJ261" s="638">
        <f t="shared" ref="AJ261:AJ324" si="101">IF(AK261="—",0,AI261)</f>
        <v>0</v>
      </c>
      <c r="AK261" s="322"/>
      <c r="AL261" s="80">
        <f t="shared" si="93"/>
        <v>0</v>
      </c>
      <c r="AM261" s="79"/>
      <c r="AN261" s="322"/>
      <c r="AO261" s="79"/>
      <c r="AP261" s="322"/>
      <c r="AQ261" s="79"/>
      <c r="AR261" s="322"/>
      <c r="AS261" s="79"/>
      <c r="AT261" s="322"/>
      <c r="AU261" s="325">
        <f t="shared" si="94"/>
        <v>0</v>
      </c>
      <c r="AV261" s="90">
        <f t="shared" si="86"/>
        <v>0</v>
      </c>
      <c r="AW261" s="324">
        <f t="shared" si="95"/>
        <v>0</v>
      </c>
      <c r="AX261" s="80">
        <f t="shared" si="87"/>
        <v>0</v>
      </c>
      <c r="AY261" s="326">
        <f t="shared" si="96"/>
        <v>0</v>
      </c>
      <c r="AZ261" s="80">
        <f t="shared" si="97"/>
        <v>0</v>
      </c>
    </row>
    <row r="262" spans="1:52" s="96" customFormat="1">
      <c r="A262" s="194" t="s">
        <v>903</v>
      </c>
      <c r="B262" s="194" t="s">
        <v>28</v>
      </c>
      <c r="C262" s="225">
        <v>160311</v>
      </c>
      <c r="D262" s="198">
        <v>14</v>
      </c>
      <c r="E262" s="162" t="s">
        <v>442</v>
      </c>
      <c r="F262" s="163" t="s">
        <v>442</v>
      </c>
      <c r="G262" s="79"/>
      <c r="H262" s="322"/>
      <c r="I262" s="79"/>
      <c r="J262" s="322"/>
      <c r="K262" s="79"/>
      <c r="L262" s="322"/>
      <c r="M262" s="79"/>
      <c r="N262" s="322"/>
      <c r="O262" s="323">
        <f t="shared" si="88"/>
        <v>0</v>
      </c>
      <c r="P262" s="638">
        <f t="shared" si="98"/>
        <v>0</v>
      </c>
      <c r="Q262" s="322"/>
      <c r="R262" s="90">
        <f t="shared" si="84"/>
        <v>0</v>
      </c>
      <c r="S262" s="324">
        <f t="shared" si="89"/>
        <v>0</v>
      </c>
      <c r="T262" s="638">
        <f t="shared" si="99"/>
        <v>0</v>
      </c>
      <c r="U262" s="322"/>
      <c r="V262" s="80">
        <f t="shared" si="85"/>
        <v>0</v>
      </c>
      <c r="W262" s="79"/>
      <c r="X262" s="322"/>
      <c r="Y262" s="79"/>
      <c r="Z262" s="322"/>
      <c r="AA262" s="79"/>
      <c r="AB262" s="322"/>
      <c r="AC262" s="79"/>
      <c r="AD262" s="322"/>
      <c r="AE262" s="323">
        <f t="shared" si="90"/>
        <v>0</v>
      </c>
      <c r="AF262" s="638">
        <f t="shared" si="100"/>
        <v>0</v>
      </c>
      <c r="AG262" s="322"/>
      <c r="AH262" s="90">
        <f t="shared" si="91"/>
        <v>0</v>
      </c>
      <c r="AI262" s="80">
        <f t="shared" si="92"/>
        <v>0</v>
      </c>
      <c r="AJ262" s="638">
        <f t="shared" si="101"/>
        <v>0</v>
      </c>
      <c r="AK262" s="322"/>
      <c r="AL262" s="80">
        <f t="shared" si="93"/>
        <v>0</v>
      </c>
      <c r="AM262" s="79"/>
      <c r="AN262" s="322"/>
      <c r="AO262" s="79"/>
      <c r="AP262" s="322"/>
      <c r="AQ262" s="79"/>
      <c r="AR262" s="322"/>
      <c r="AS262" s="79"/>
      <c r="AT262" s="322"/>
      <c r="AU262" s="325">
        <f t="shared" si="94"/>
        <v>0</v>
      </c>
      <c r="AV262" s="90">
        <f t="shared" si="86"/>
        <v>0</v>
      </c>
      <c r="AW262" s="324">
        <f t="shared" si="95"/>
        <v>0</v>
      </c>
      <c r="AX262" s="80">
        <f t="shared" si="87"/>
        <v>0</v>
      </c>
      <c r="AY262" s="326">
        <f t="shared" si="96"/>
        <v>0</v>
      </c>
      <c r="AZ262" s="80">
        <f t="shared" si="97"/>
        <v>0</v>
      </c>
    </row>
    <row r="263" spans="1:52" s="96" customFormat="1">
      <c r="A263" s="194" t="s">
        <v>903</v>
      </c>
      <c r="B263" s="194" t="s">
        <v>29</v>
      </c>
      <c r="C263" s="225">
        <v>160366</v>
      </c>
      <c r="D263" s="198">
        <v>14</v>
      </c>
      <c r="E263" s="162" t="s">
        <v>442</v>
      </c>
      <c r="F263" s="163" t="s">
        <v>442</v>
      </c>
      <c r="G263" s="79"/>
      <c r="H263" s="322"/>
      <c r="I263" s="79"/>
      <c r="J263" s="322"/>
      <c r="K263" s="79"/>
      <c r="L263" s="322"/>
      <c r="M263" s="79"/>
      <c r="N263" s="322"/>
      <c r="O263" s="323">
        <f t="shared" si="88"/>
        <v>0</v>
      </c>
      <c r="P263" s="638">
        <f t="shared" si="98"/>
        <v>0</v>
      </c>
      <c r="Q263" s="322"/>
      <c r="R263" s="90">
        <f t="shared" si="84"/>
        <v>0</v>
      </c>
      <c r="S263" s="324">
        <f t="shared" si="89"/>
        <v>0</v>
      </c>
      <c r="T263" s="638">
        <f t="shared" si="99"/>
        <v>0</v>
      </c>
      <c r="U263" s="322"/>
      <c r="V263" s="80">
        <f t="shared" si="85"/>
        <v>0</v>
      </c>
      <c r="W263" s="79"/>
      <c r="X263" s="322"/>
      <c r="Y263" s="79"/>
      <c r="Z263" s="322"/>
      <c r="AA263" s="79"/>
      <c r="AB263" s="322"/>
      <c r="AC263" s="79"/>
      <c r="AD263" s="322"/>
      <c r="AE263" s="323">
        <f t="shared" si="90"/>
        <v>0</v>
      </c>
      <c r="AF263" s="638">
        <f t="shared" si="100"/>
        <v>0</v>
      </c>
      <c r="AG263" s="322"/>
      <c r="AH263" s="90">
        <f t="shared" si="91"/>
        <v>0</v>
      </c>
      <c r="AI263" s="80">
        <f t="shared" si="92"/>
        <v>0</v>
      </c>
      <c r="AJ263" s="638">
        <f t="shared" si="101"/>
        <v>0</v>
      </c>
      <c r="AK263" s="322"/>
      <c r="AL263" s="80">
        <f t="shared" si="93"/>
        <v>0</v>
      </c>
      <c r="AM263" s="79"/>
      <c r="AN263" s="322"/>
      <c r="AO263" s="79"/>
      <c r="AP263" s="322"/>
      <c r="AQ263" s="79"/>
      <c r="AR263" s="322"/>
      <c r="AS263" s="79"/>
      <c r="AT263" s="322"/>
      <c r="AU263" s="325">
        <f t="shared" si="94"/>
        <v>0</v>
      </c>
      <c r="AV263" s="90">
        <f t="shared" si="86"/>
        <v>0</v>
      </c>
      <c r="AW263" s="324">
        <f t="shared" si="95"/>
        <v>0</v>
      </c>
      <c r="AX263" s="80">
        <f t="shared" si="87"/>
        <v>0</v>
      </c>
      <c r="AY263" s="326">
        <f t="shared" si="96"/>
        <v>0</v>
      </c>
      <c r="AZ263" s="80">
        <f t="shared" si="97"/>
        <v>0</v>
      </c>
    </row>
    <row r="264" spans="1:52" s="96" customFormat="1">
      <c r="A264" s="194" t="s">
        <v>903</v>
      </c>
      <c r="B264" s="194" t="s">
        <v>30</v>
      </c>
      <c r="C264" s="225">
        <v>160384</v>
      </c>
      <c r="D264" s="196">
        <v>14</v>
      </c>
      <c r="E264" s="162" t="s">
        <v>442</v>
      </c>
      <c r="F264" s="163" t="s">
        <v>442</v>
      </c>
      <c r="G264" s="79"/>
      <c r="H264" s="322"/>
      <c r="I264" s="79"/>
      <c r="J264" s="322"/>
      <c r="K264" s="79"/>
      <c r="L264" s="322"/>
      <c r="M264" s="79"/>
      <c r="N264" s="322"/>
      <c r="O264" s="323">
        <f t="shared" si="88"/>
        <v>0</v>
      </c>
      <c r="P264" s="638">
        <f t="shared" si="98"/>
        <v>0</v>
      </c>
      <c r="Q264" s="322"/>
      <c r="R264" s="90">
        <f t="shared" si="84"/>
        <v>0</v>
      </c>
      <c r="S264" s="324">
        <f t="shared" si="89"/>
        <v>0</v>
      </c>
      <c r="T264" s="638">
        <f t="shared" si="99"/>
        <v>0</v>
      </c>
      <c r="U264" s="322"/>
      <c r="V264" s="80">
        <f t="shared" si="85"/>
        <v>0</v>
      </c>
      <c r="W264" s="79"/>
      <c r="X264" s="322"/>
      <c r="Y264" s="79"/>
      <c r="Z264" s="322"/>
      <c r="AA264" s="79"/>
      <c r="AB264" s="322"/>
      <c r="AC264" s="79"/>
      <c r="AD264" s="322"/>
      <c r="AE264" s="323">
        <f t="shared" si="90"/>
        <v>0</v>
      </c>
      <c r="AF264" s="638">
        <f t="shared" si="100"/>
        <v>0</v>
      </c>
      <c r="AG264" s="322"/>
      <c r="AH264" s="90">
        <f t="shared" si="91"/>
        <v>0</v>
      </c>
      <c r="AI264" s="80">
        <f t="shared" si="92"/>
        <v>0</v>
      </c>
      <c r="AJ264" s="638">
        <f t="shared" si="101"/>
        <v>0</v>
      </c>
      <c r="AK264" s="322"/>
      <c r="AL264" s="80">
        <f t="shared" si="93"/>
        <v>0</v>
      </c>
      <c r="AM264" s="79"/>
      <c r="AN264" s="322"/>
      <c r="AO264" s="79"/>
      <c r="AP264" s="322"/>
      <c r="AQ264" s="79"/>
      <c r="AR264" s="322"/>
      <c r="AS264" s="79"/>
      <c r="AT264" s="322"/>
      <c r="AU264" s="325">
        <f t="shared" si="94"/>
        <v>0</v>
      </c>
      <c r="AV264" s="90">
        <f t="shared" si="86"/>
        <v>0</v>
      </c>
      <c r="AW264" s="324">
        <f t="shared" si="95"/>
        <v>0</v>
      </c>
      <c r="AX264" s="80">
        <f t="shared" si="87"/>
        <v>0</v>
      </c>
      <c r="AY264" s="326">
        <f t="shared" si="96"/>
        <v>0</v>
      </c>
      <c r="AZ264" s="80">
        <f t="shared" si="97"/>
        <v>0</v>
      </c>
    </row>
    <row r="265" spans="1:52" s="96" customFormat="1">
      <c r="A265" s="194" t="s">
        <v>903</v>
      </c>
      <c r="B265" s="194" t="s">
        <v>34</v>
      </c>
      <c r="C265" s="225">
        <v>158583</v>
      </c>
      <c r="D265" s="196">
        <v>14</v>
      </c>
      <c r="E265" s="162" t="s">
        <v>442</v>
      </c>
      <c r="F265" s="163" t="s">
        <v>442</v>
      </c>
      <c r="G265" s="79"/>
      <c r="H265" s="322"/>
      <c r="I265" s="79"/>
      <c r="J265" s="322"/>
      <c r="K265" s="79"/>
      <c r="L265" s="322"/>
      <c r="M265" s="79"/>
      <c r="N265" s="322"/>
      <c r="O265" s="323">
        <f t="shared" si="88"/>
        <v>0</v>
      </c>
      <c r="P265" s="638">
        <f t="shared" si="98"/>
        <v>0</v>
      </c>
      <c r="Q265" s="322"/>
      <c r="R265" s="90">
        <f t="shared" si="84"/>
        <v>0</v>
      </c>
      <c r="S265" s="324">
        <f t="shared" si="89"/>
        <v>0</v>
      </c>
      <c r="T265" s="638">
        <f t="shared" si="99"/>
        <v>0</v>
      </c>
      <c r="U265" s="322"/>
      <c r="V265" s="80">
        <f t="shared" si="85"/>
        <v>0</v>
      </c>
      <c r="W265" s="79"/>
      <c r="X265" s="322"/>
      <c r="Y265" s="79"/>
      <c r="Z265" s="322"/>
      <c r="AA265" s="79"/>
      <c r="AB265" s="322"/>
      <c r="AC265" s="79"/>
      <c r="AD265" s="322"/>
      <c r="AE265" s="323">
        <f t="shared" si="90"/>
        <v>0</v>
      </c>
      <c r="AF265" s="638">
        <f t="shared" si="100"/>
        <v>0</v>
      </c>
      <c r="AG265" s="322"/>
      <c r="AH265" s="90">
        <f t="shared" si="91"/>
        <v>0</v>
      </c>
      <c r="AI265" s="80">
        <f t="shared" si="92"/>
        <v>0</v>
      </c>
      <c r="AJ265" s="638">
        <f t="shared" si="101"/>
        <v>0</v>
      </c>
      <c r="AK265" s="322"/>
      <c r="AL265" s="80">
        <f t="shared" si="93"/>
        <v>0</v>
      </c>
      <c r="AM265" s="79"/>
      <c r="AN265" s="322"/>
      <c r="AO265" s="79"/>
      <c r="AP265" s="322"/>
      <c r="AQ265" s="79"/>
      <c r="AR265" s="322"/>
      <c r="AS265" s="79"/>
      <c r="AT265" s="322"/>
      <c r="AU265" s="325">
        <f t="shared" si="94"/>
        <v>0</v>
      </c>
      <c r="AV265" s="90">
        <f t="shared" si="86"/>
        <v>0</v>
      </c>
      <c r="AW265" s="324">
        <f t="shared" si="95"/>
        <v>0</v>
      </c>
      <c r="AX265" s="80">
        <f t="shared" si="87"/>
        <v>0</v>
      </c>
      <c r="AY265" s="326">
        <f t="shared" si="96"/>
        <v>0</v>
      </c>
      <c r="AZ265" s="80">
        <f t="shared" si="97"/>
        <v>0</v>
      </c>
    </row>
    <row r="266" spans="1:52" s="96" customFormat="1">
      <c r="A266" s="194" t="s">
        <v>903</v>
      </c>
      <c r="B266" s="194" t="s">
        <v>35</v>
      </c>
      <c r="C266" s="225">
        <v>160427</v>
      </c>
      <c r="D266" s="198">
        <v>14</v>
      </c>
      <c r="E266" s="162" t="s">
        <v>442</v>
      </c>
      <c r="F266" s="163" t="s">
        <v>442</v>
      </c>
      <c r="G266" s="79"/>
      <c r="H266" s="322"/>
      <c r="I266" s="79"/>
      <c r="J266" s="322"/>
      <c r="K266" s="79"/>
      <c r="L266" s="322"/>
      <c r="M266" s="79"/>
      <c r="N266" s="322"/>
      <c r="O266" s="323">
        <f t="shared" si="88"/>
        <v>0</v>
      </c>
      <c r="P266" s="638">
        <f t="shared" si="98"/>
        <v>0</v>
      </c>
      <c r="Q266" s="322"/>
      <c r="R266" s="90">
        <f t="shared" si="84"/>
        <v>0</v>
      </c>
      <c r="S266" s="324">
        <f t="shared" si="89"/>
        <v>0</v>
      </c>
      <c r="T266" s="638">
        <f t="shared" si="99"/>
        <v>0</v>
      </c>
      <c r="U266" s="322"/>
      <c r="V266" s="80">
        <f t="shared" si="85"/>
        <v>0</v>
      </c>
      <c r="W266" s="79"/>
      <c r="X266" s="322"/>
      <c r="Y266" s="79"/>
      <c r="Z266" s="322"/>
      <c r="AA266" s="79"/>
      <c r="AB266" s="322"/>
      <c r="AC266" s="79"/>
      <c r="AD266" s="322"/>
      <c r="AE266" s="323">
        <f t="shared" si="90"/>
        <v>0</v>
      </c>
      <c r="AF266" s="638">
        <f t="shared" si="100"/>
        <v>0</v>
      </c>
      <c r="AG266" s="322"/>
      <c r="AH266" s="90">
        <f t="shared" si="91"/>
        <v>0</v>
      </c>
      <c r="AI266" s="80">
        <f t="shared" si="92"/>
        <v>0</v>
      </c>
      <c r="AJ266" s="638">
        <f t="shared" si="101"/>
        <v>0</v>
      </c>
      <c r="AK266" s="322"/>
      <c r="AL266" s="80">
        <f t="shared" si="93"/>
        <v>0</v>
      </c>
      <c r="AM266" s="79"/>
      <c r="AN266" s="322"/>
      <c r="AO266" s="79"/>
      <c r="AP266" s="322"/>
      <c r="AQ266" s="79"/>
      <c r="AR266" s="322"/>
      <c r="AS266" s="79"/>
      <c r="AT266" s="322"/>
      <c r="AU266" s="325">
        <f t="shared" si="94"/>
        <v>0</v>
      </c>
      <c r="AV266" s="90">
        <f t="shared" si="86"/>
        <v>0</v>
      </c>
      <c r="AW266" s="324">
        <f t="shared" si="95"/>
        <v>0</v>
      </c>
      <c r="AX266" s="80">
        <f t="shared" si="87"/>
        <v>0</v>
      </c>
      <c r="AY266" s="326">
        <f t="shared" si="96"/>
        <v>0</v>
      </c>
      <c r="AZ266" s="80">
        <f t="shared" si="97"/>
        <v>0</v>
      </c>
    </row>
    <row r="267" spans="1:52" s="96" customFormat="1">
      <c r="A267" s="194" t="s">
        <v>903</v>
      </c>
      <c r="B267" s="194" t="s">
        <v>36</v>
      </c>
      <c r="C267" s="225">
        <v>160436</v>
      </c>
      <c r="D267" s="198">
        <v>14</v>
      </c>
      <c r="E267" s="162" t="s">
        <v>442</v>
      </c>
      <c r="F267" s="163" t="s">
        <v>442</v>
      </c>
      <c r="G267" s="79"/>
      <c r="H267" s="322"/>
      <c r="I267" s="79"/>
      <c r="J267" s="322"/>
      <c r="K267" s="79"/>
      <c r="L267" s="322"/>
      <c r="M267" s="79"/>
      <c r="N267" s="322"/>
      <c r="O267" s="323">
        <f t="shared" si="88"/>
        <v>0</v>
      </c>
      <c r="P267" s="638">
        <f t="shared" si="98"/>
        <v>0</v>
      </c>
      <c r="Q267" s="322"/>
      <c r="R267" s="90">
        <f t="shared" si="84"/>
        <v>0</v>
      </c>
      <c r="S267" s="324">
        <f t="shared" si="89"/>
        <v>0</v>
      </c>
      <c r="T267" s="638">
        <f t="shared" si="99"/>
        <v>0</v>
      </c>
      <c r="U267" s="322"/>
      <c r="V267" s="80">
        <f t="shared" si="85"/>
        <v>0</v>
      </c>
      <c r="W267" s="79"/>
      <c r="X267" s="322"/>
      <c r="Y267" s="79"/>
      <c r="Z267" s="322"/>
      <c r="AA267" s="79"/>
      <c r="AB267" s="322"/>
      <c r="AC267" s="79"/>
      <c r="AD267" s="322"/>
      <c r="AE267" s="323">
        <f t="shared" si="90"/>
        <v>0</v>
      </c>
      <c r="AF267" s="638">
        <f t="shared" si="100"/>
        <v>0</v>
      </c>
      <c r="AG267" s="322"/>
      <c r="AH267" s="90">
        <f t="shared" si="91"/>
        <v>0</v>
      </c>
      <c r="AI267" s="80">
        <f t="shared" si="92"/>
        <v>0</v>
      </c>
      <c r="AJ267" s="638">
        <f t="shared" si="101"/>
        <v>0</v>
      </c>
      <c r="AK267" s="322"/>
      <c r="AL267" s="80">
        <f t="shared" si="93"/>
        <v>0</v>
      </c>
      <c r="AM267" s="79"/>
      <c r="AN267" s="322"/>
      <c r="AO267" s="79"/>
      <c r="AP267" s="322"/>
      <c r="AQ267" s="79"/>
      <c r="AR267" s="322"/>
      <c r="AS267" s="79"/>
      <c r="AT267" s="322"/>
      <c r="AU267" s="325">
        <f t="shared" si="94"/>
        <v>0</v>
      </c>
      <c r="AV267" s="90">
        <f t="shared" si="86"/>
        <v>0</v>
      </c>
      <c r="AW267" s="324">
        <f t="shared" si="95"/>
        <v>0</v>
      </c>
      <c r="AX267" s="80">
        <f t="shared" si="87"/>
        <v>0</v>
      </c>
      <c r="AY267" s="326">
        <f t="shared" si="96"/>
        <v>0</v>
      </c>
      <c r="AZ267" s="80">
        <f t="shared" si="97"/>
        <v>0</v>
      </c>
    </row>
    <row r="268" spans="1:52" s="96" customFormat="1">
      <c r="A268" s="194" t="s">
        <v>903</v>
      </c>
      <c r="B268" s="194" t="s">
        <v>37</v>
      </c>
      <c r="C268" s="225">
        <v>160454</v>
      </c>
      <c r="D268" s="198">
        <v>14</v>
      </c>
      <c r="E268" s="162" t="s">
        <v>442</v>
      </c>
      <c r="F268" s="163" t="s">
        <v>442</v>
      </c>
      <c r="G268" s="79"/>
      <c r="H268" s="322"/>
      <c r="I268" s="79"/>
      <c r="J268" s="322"/>
      <c r="K268" s="79"/>
      <c r="L268" s="322"/>
      <c r="M268" s="79"/>
      <c r="N268" s="322"/>
      <c r="O268" s="323">
        <f t="shared" si="88"/>
        <v>0</v>
      </c>
      <c r="P268" s="638">
        <f t="shared" si="98"/>
        <v>0</v>
      </c>
      <c r="Q268" s="322"/>
      <c r="R268" s="90">
        <f t="shared" si="84"/>
        <v>0</v>
      </c>
      <c r="S268" s="324">
        <f t="shared" si="89"/>
        <v>0</v>
      </c>
      <c r="T268" s="638">
        <f t="shared" si="99"/>
        <v>0</v>
      </c>
      <c r="U268" s="322"/>
      <c r="V268" s="80">
        <f t="shared" si="85"/>
        <v>0</v>
      </c>
      <c r="W268" s="79"/>
      <c r="X268" s="322"/>
      <c r="Y268" s="79"/>
      <c r="Z268" s="322"/>
      <c r="AA268" s="79"/>
      <c r="AB268" s="322"/>
      <c r="AC268" s="79"/>
      <c r="AD268" s="322"/>
      <c r="AE268" s="323">
        <f t="shared" si="90"/>
        <v>0</v>
      </c>
      <c r="AF268" s="638">
        <f t="shared" si="100"/>
        <v>0</v>
      </c>
      <c r="AG268" s="322"/>
      <c r="AH268" s="90">
        <f t="shared" si="91"/>
        <v>0</v>
      </c>
      <c r="AI268" s="80">
        <f t="shared" si="92"/>
        <v>0</v>
      </c>
      <c r="AJ268" s="638">
        <f t="shared" si="101"/>
        <v>0</v>
      </c>
      <c r="AK268" s="322"/>
      <c r="AL268" s="80">
        <f t="shared" si="93"/>
        <v>0</v>
      </c>
      <c r="AM268" s="79"/>
      <c r="AN268" s="322"/>
      <c r="AO268" s="79"/>
      <c r="AP268" s="322"/>
      <c r="AQ268" s="79"/>
      <c r="AR268" s="322"/>
      <c r="AS268" s="79"/>
      <c r="AT268" s="322"/>
      <c r="AU268" s="325">
        <f t="shared" si="94"/>
        <v>0</v>
      </c>
      <c r="AV268" s="90">
        <f t="shared" si="86"/>
        <v>0</v>
      </c>
      <c r="AW268" s="324">
        <f t="shared" si="95"/>
        <v>0</v>
      </c>
      <c r="AX268" s="80">
        <f t="shared" si="87"/>
        <v>0</v>
      </c>
      <c r="AY268" s="326">
        <f t="shared" si="96"/>
        <v>0</v>
      </c>
      <c r="AZ268" s="80">
        <f t="shared" si="97"/>
        <v>0</v>
      </c>
    </row>
    <row r="269" spans="1:52" s="96" customFormat="1">
      <c r="A269" s="194" t="s">
        <v>903</v>
      </c>
      <c r="B269" s="194" t="s">
        <v>38</v>
      </c>
      <c r="C269" s="225">
        <v>160667</v>
      </c>
      <c r="D269" s="198">
        <v>14</v>
      </c>
      <c r="E269" s="162" t="s">
        <v>442</v>
      </c>
      <c r="F269" s="163" t="s">
        <v>442</v>
      </c>
      <c r="G269" s="79"/>
      <c r="H269" s="322"/>
      <c r="I269" s="79"/>
      <c r="J269" s="322"/>
      <c r="K269" s="79"/>
      <c r="L269" s="322"/>
      <c r="M269" s="79"/>
      <c r="N269" s="322"/>
      <c r="O269" s="323">
        <f t="shared" si="88"/>
        <v>0</v>
      </c>
      <c r="P269" s="638">
        <f t="shared" si="98"/>
        <v>0</v>
      </c>
      <c r="Q269" s="322"/>
      <c r="R269" s="90">
        <f t="shared" si="84"/>
        <v>0</v>
      </c>
      <c r="S269" s="324">
        <f t="shared" si="89"/>
        <v>0</v>
      </c>
      <c r="T269" s="638">
        <f t="shared" si="99"/>
        <v>0</v>
      </c>
      <c r="U269" s="322"/>
      <c r="V269" s="80">
        <f t="shared" si="85"/>
        <v>0</v>
      </c>
      <c r="W269" s="79"/>
      <c r="X269" s="322"/>
      <c r="Y269" s="79"/>
      <c r="Z269" s="322"/>
      <c r="AA269" s="79"/>
      <c r="AB269" s="322"/>
      <c r="AC269" s="79"/>
      <c r="AD269" s="322"/>
      <c r="AE269" s="323">
        <f t="shared" si="90"/>
        <v>0</v>
      </c>
      <c r="AF269" s="638">
        <f t="shared" si="100"/>
        <v>0</v>
      </c>
      <c r="AG269" s="322"/>
      <c r="AH269" s="90">
        <f t="shared" si="91"/>
        <v>0</v>
      </c>
      <c r="AI269" s="80">
        <f t="shared" si="92"/>
        <v>0</v>
      </c>
      <c r="AJ269" s="638">
        <f t="shared" si="101"/>
        <v>0</v>
      </c>
      <c r="AK269" s="322"/>
      <c r="AL269" s="80">
        <f t="shared" si="93"/>
        <v>0</v>
      </c>
      <c r="AM269" s="79"/>
      <c r="AN269" s="322"/>
      <c r="AO269" s="79"/>
      <c r="AP269" s="322"/>
      <c r="AQ269" s="79"/>
      <c r="AR269" s="322"/>
      <c r="AS269" s="79"/>
      <c r="AT269" s="322"/>
      <c r="AU269" s="325">
        <f t="shared" si="94"/>
        <v>0</v>
      </c>
      <c r="AV269" s="90">
        <f t="shared" si="86"/>
        <v>0</v>
      </c>
      <c r="AW269" s="324">
        <f t="shared" si="95"/>
        <v>0</v>
      </c>
      <c r="AX269" s="80">
        <f t="shared" si="87"/>
        <v>0</v>
      </c>
      <c r="AY269" s="326">
        <f t="shared" si="96"/>
        <v>0</v>
      </c>
      <c r="AZ269" s="80">
        <f t="shared" si="97"/>
        <v>0</v>
      </c>
    </row>
    <row r="270" spans="1:52" s="96" customFormat="1">
      <c r="A270" s="194" t="s">
        <v>903</v>
      </c>
      <c r="B270" s="194" t="s">
        <v>39</v>
      </c>
      <c r="C270" s="225">
        <v>160676</v>
      </c>
      <c r="D270" s="198">
        <v>14</v>
      </c>
      <c r="E270" s="162" t="s">
        <v>442</v>
      </c>
      <c r="F270" s="163" t="s">
        <v>442</v>
      </c>
      <c r="G270" s="79"/>
      <c r="H270" s="322"/>
      <c r="I270" s="79"/>
      <c r="J270" s="322"/>
      <c r="K270" s="79"/>
      <c r="L270" s="322"/>
      <c r="M270" s="79"/>
      <c r="N270" s="322"/>
      <c r="O270" s="323">
        <f t="shared" si="88"/>
        <v>0</v>
      </c>
      <c r="P270" s="638">
        <f t="shared" si="98"/>
        <v>0</v>
      </c>
      <c r="Q270" s="322"/>
      <c r="R270" s="90">
        <f t="shared" si="84"/>
        <v>0</v>
      </c>
      <c r="S270" s="324">
        <f t="shared" si="89"/>
        <v>0</v>
      </c>
      <c r="T270" s="638">
        <f t="shared" si="99"/>
        <v>0</v>
      </c>
      <c r="U270" s="322"/>
      <c r="V270" s="80">
        <f t="shared" si="85"/>
        <v>0</v>
      </c>
      <c r="W270" s="79"/>
      <c r="X270" s="322"/>
      <c r="Y270" s="79"/>
      <c r="Z270" s="322"/>
      <c r="AA270" s="79"/>
      <c r="AB270" s="322"/>
      <c r="AC270" s="79"/>
      <c r="AD270" s="322"/>
      <c r="AE270" s="323">
        <f t="shared" si="90"/>
        <v>0</v>
      </c>
      <c r="AF270" s="638">
        <f t="shared" si="100"/>
        <v>0</v>
      </c>
      <c r="AG270" s="322"/>
      <c r="AH270" s="90">
        <f t="shared" si="91"/>
        <v>0</v>
      </c>
      <c r="AI270" s="80">
        <f t="shared" si="92"/>
        <v>0</v>
      </c>
      <c r="AJ270" s="638">
        <f t="shared" si="101"/>
        <v>0</v>
      </c>
      <c r="AK270" s="322"/>
      <c r="AL270" s="80">
        <f t="shared" si="93"/>
        <v>0</v>
      </c>
      <c r="AM270" s="79"/>
      <c r="AN270" s="322"/>
      <c r="AO270" s="79"/>
      <c r="AP270" s="322"/>
      <c r="AQ270" s="79"/>
      <c r="AR270" s="322"/>
      <c r="AS270" s="79"/>
      <c r="AT270" s="322"/>
      <c r="AU270" s="325">
        <f t="shared" si="94"/>
        <v>0</v>
      </c>
      <c r="AV270" s="90">
        <f t="shared" si="86"/>
        <v>0</v>
      </c>
      <c r="AW270" s="324">
        <f t="shared" si="95"/>
        <v>0</v>
      </c>
      <c r="AX270" s="80">
        <f t="shared" si="87"/>
        <v>0</v>
      </c>
      <c r="AY270" s="326">
        <f t="shared" si="96"/>
        <v>0</v>
      </c>
      <c r="AZ270" s="80">
        <f t="shared" si="97"/>
        <v>0</v>
      </c>
    </row>
    <row r="271" spans="1:52" s="96" customFormat="1">
      <c r="A271" s="194" t="s">
        <v>903</v>
      </c>
      <c r="B271" s="194" t="s">
        <v>40</v>
      </c>
      <c r="C271" s="225">
        <v>160685</v>
      </c>
      <c r="D271" s="198">
        <v>14</v>
      </c>
      <c r="E271" s="162" t="s">
        <v>442</v>
      </c>
      <c r="F271" s="163" t="s">
        <v>442</v>
      </c>
      <c r="G271" s="79"/>
      <c r="H271" s="322"/>
      <c r="I271" s="79"/>
      <c r="J271" s="322"/>
      <c r="K271" s="79"/>
      <c r="L271" s="322"/>
      <c r="M271" s="79"/>
      <c r="N271" s="322"/>
      <c r="O271" s="323">
        <f t="shared" si="88"/>
        <v>0</v>
      </c>
      <c r="P271" s="638">
        <f t="shared" si="98"/>
        <v>0</v>
      </c>
      <c r="Q271" s="322"/>
      <c r="R271" s="90">
        <f t="shared" si="84"/>
        <v>0</v>
      </c>
      <c r="S271" s="324">
        <f t="shared" si="89"/>
        <v>0</v>
      </c>
      <c r="T271" s="638">
        <f t="shared" si="99"/>
        <v>0</v>
      </c>
      <c r="U271" s="322"/>
      <c r="V271" s="80">
        <f t="shared" si="85"/>
        <v>0</v>
      </c>
      <c r="W271" s="79"/>
      <c r="X271" s="322"/>
      <c r="Y271" s="79"/>
      <c r="Z271" s="322"/>
      <c r="AA271" s="79"/>
      <c r="AB271" s="322"/>
      <c r="AC271" s="79"/>
      <c r="AD271" s="322"/>
      <c r="AE271" s="323">
        <f t="shared" si="90"/>
        <v>0</v>
      </c>
      <c r="AF271" s="638">
        <f t="shared" si="100"/>
        <v>0</v>
      </c>
      <c r="AG271" s="322"/>
      <c r="AH271" s="90">
        <f t="shared" si="91"/>
        <v>0</v>
      </c>
      <c r="AI271" s="80">
        <f t="shared" si="92"/>
        <v>0</v>
      </c>
      <c r="AJ271" s="638">
        <f t="shared" si="101"/>
        <v>0</v>
      </c>
      <c r="AK271" s="322"/>
      <c r="AL271" s="80">
        <f t="shared" si="93"/>
        <v>0</v>
      </c>
      <c r="AM271" s="79"/>
      <c r="AN271" s="322"/>
      <c r="AO271" s="79"/>
      <c r="AP271" s="322"/>
      <c r="AQ271" s="79"/>
      <c r="AR271" s="322"/>
      <c r="AS271" s="79"/>
      <c r="AT271" s="322"/>
      <c r="AU271" s="325">
        <f t="shared" si="94"/>
        <v>0</v>
      </c>
      <c r="AV271" s="90">
        <f t="shared" si="86"/>
        <v>0</v>
      </c>
      <c r="AW271" s="324">
        <f t="shared" si="95"/>
        <v>0</v>
      </c>
      <c r="AX271" s="80">
        <f t="shared" si="87"/>
        <v>0</v>
      </c>
      <c r="AY271" s="326">
        <f t="shared" si="96"/>
        <v>0</v>
      </c>
      <c r="AZ271" s="80">
        <f t="shared" si="97"/>
        <v>0</v>
      </c>
    </row>
    <row r="272" spans="1:52" s="96" customFormat="1">
      <c r="A272" s="194" t="s">
        <v>903</v>
      </c>
      <c r="B272" s="194" t="s">
        <v>41</v>
      </c>
      <c r="C272" s="225">
        <v>160694</v>
      </c>
      <c r="D272" s="196">
        <v>14</v>
      </c>
      <c r="E272" s="162" t="s">
        <v>442</v>
      </c>
      <c r="F272" s="163" t="s">
        <v>442</v>
      </c>
      <c r="G272" s="79"/>
      <c r="H272" s="322"/>
      <c r="I272" s="79"/>
      <c r="J272" s="322"/>
      <c r="K272" s="79"/>
      <c r="L272" s="322"/>
      <c r="M272" s="79"/>
      <c r="N272" s="322"/>
      <c r="O272" s="323">
        <f t="shared" si="88"/>
        <v>0</v>
      </c>
      <c r="P272" s="638">
        <f t="shared" si="98"/>
        <v>0</v>
      </c>
      <c r="Q272" s="322"/>
      <c r="R272" s="90">
        <f t="shared" si="84"/>
        <v>0</v>
      </c>
      <c r="S272" s="324">
        <f t="shared" si="89"/>
        <v>0</v>
      </c>
      <c r="T272" s="638">
        <f t="shared" si="99"/>
        <v>0</v>
      </c>
      <c r="U272" s="322"/>
      <c r="V272" s="80">
        <f t="shared" si="85"/>
        <v>0</v>
      </c>
      <c r="W272" s="79"/>
      <c r="X272" s="322"/>
      <c r="Y272" s="79"/>
      <c r="Z272" s="322"/>
      <c r="AA272" s="79"/>
      <c r="AB272" s="322"/>
      <c r="AC272" s="79"/>
      <c r="AD272" s="322"/>
      <c r="AE272" s="323">
        <f t="shared" si="90"/>
        <v>0</v>
      </c>
      <c r="AF272" s="638">
        <f t="shared" si="100"/>
        <v>0</v>
      </c>
      <c r="AG272" s="322"/>
      <c r="AH272" s="90">
        <f t="shared" si="91"/>
        <v>0</v>
      </c>
      <c r="AI272" s="80">
        <f t="shared" si="92"/>
        <v>0</v>
      </c>
      <c r="AJ272" s="638">
        <f t="shared" si="101"/>
        <v>0</v>
      </c>
      <c r="AK272" s="322"/>
      <c r="AL272" s="80">
        <f t="shared" si="93"/>
        <v>0</v>
      </c>
      <c r="AM272" s="79"/>
      <c r="AN272" s="322"/>
      <c r="AO272" s="79"/>
      <c r="AP272" s="322"/>
      <c r="AQ272" s="79"/>
      <c r="AR272" s="322"/>
      <c r="AS272" s="79"/>
      <c r="AT272" s="322"/>
      <c r="AU272" s="325">
        <f t="shared" si="94"/>
        <v>0</v>
      </c>
      <c r="AV272" s="90">
        <f t="shared" si="86"/>
        <v>0</v>
      </c>
      <c r="AW272" s="324">
        <f t="shared" si="95"/>
        <v>0</v>
      </c>
      <c r="AX272" s="80">
        <f t="shared" si="87"/>
        <v>0</v>
      </c>
      <c r="AY272" s="326">
        <f t="shared" si="96"/>
        <v>0</v>
      </c>
      <c r="AZ272" s="80">
        <f t="shared" si="97"/>
        <v>0</v>
      </c>
    </row>
    <row r="273" spans="1:52" s="96" customFormat="1">
      <c r="A273" s="194" t="s">
        <v>903</v>
      </c>
      <c r="B273" s="194" t="s">
        <v>42</v>
      </c>
      <c r="C273" s="225">
        <v>159267</v>
      </c>
      <c r="D273" s="196">
        <v>14</v>
      </c>
      <c r="E273" s="162" t="s">
        <v>442</v>
      </c>
      <c r="F273" s="163" t="s">
        <v>442</v>
      </c>
      <c r="G273" s="79"/>
      <c r="H273" s="322"/>
      <c r="I273" s="79"/>
      <c r="J273" s="322"/>
      <c r="K273" s="79"/>
      <c r="L273" s="322"/>
      <c r="M273" s="79"/>
      <c r="N273" s="322"/>
      <c r="O273" s="323">
        <f t="shared" si="88"/>
        <v>0</v>
      </c>
      <c r="P273" s="638">
        <f t="shared" si="98"/>
        <v>0</v>
      </c>
      <c r="Q273" s="322"/>
      <c r="R273" s="90">
        <f t="shared" si="84"/>
        <v>0</v>
      </c>
      <c r="S273" s="324">
        <f t="shared" si="89"/>
        <v>0</v>
      </c>
      <c r="T273" s="638">
        <f t="shared" si="99"/>
        <v>0</v>
      </c>
      <c r="U273" s="322"/>
      <c r="V273" s="80">
        <f t="shared" si="85"/>
        <v>0</v>
      </c>
      <c r="W273" s="79"/>
      <c r="X273" s="322"/>
      <c r="Y273" s="79"/>
      <c r="Z273" s="322"/>
      <c r="AA273" s="79"/>
      <c r="AB273" s="322"/>
      <c r="AC273" s="79"/>
      <c r="AD273" s="322"/>
      <c r="AE273" s="323">
        <f t="shared" si="90"/>
        <v>0</v>
      </c>
      <c r="AF273" s="638">
        <f t="shared" si="100"/>
        <v>0</v>
      </c>
      <c r="AG273" s="322"/>
      <c r="AH273" s="90">
        <f t="shared" si="91"/>
        <v>0</v>
      </c>
      <c r="AI273" s="80">
        <f t="shared" si="92"/>
        <v>0</v>
      </c>
      <c r="AJ273" s="638">
        <f t="shared" si="101"/>
        <v>0</v>
      </c>
      <c r="AK273" s="322"/>
      <c r="AL273" s="80">
        <f t="shared" si="93"/>
        <v>0</v>
      </c>
      <c r="AM273" s="79"/>
      <c r="AN273" s="322"/>
      <c r="AO273" s="79"/>
      <c r="AP273" s="322"/>
      <c r="AQ273" s="79"/>
      <c r="AR273" s="322"/>
      <c r="AS273" s="79"/>
      <c r="AT273" s="322"/>
      <c r="AU273" s="325">
        <f t="shared" si="94"/>
        <v>0</v>
      </c>
      <c r="AV273" s="90">
        <f t="shared" si="86"/>
        <v>0</v>
      </c>
      <c r="AW273" s="324">
        <f t="shared" si="95"/>
        <v>0</v>
      </c>
      <c r="AX273" s="80">
        <f t="shared" si="87"/>
        <v>0</v>
      </c>
      <c r="AY273" s="326">
        <f t="shared" si="96"/>
        <v>0</v>
      </c>
      <c r="AZ273" s="80">
        <f t="shared" si="97"/>
        <v>0</v>
      </c>
    </row>
    <row r="274" spans="1:52" s="96" customFormat="1">
      <c r="A274" s="194" t="s">
        <v>903</v>
      </c>
      <c r="B274" s="194" t="s">
        <v>43</v>
      </c>
      <c r="C274" s="225">
        <v>160870</v>
      </c>
      <c r="D274" s="196">
        <v>14</v>
      </c>
      <c r="E274" s="162" t="s">
        <v>442</v>
      </c>
      <c r="F274" s="163" t="s">
        <v>442</v>
      </c>
      <c r="G274" s="79"/>
      <c r="H274" s="322"/>
      <c r="I274" s="79"/>
      <c r="J274" s="322"/>
      <c r="K274" s="79"/>
      <c r="L274" s="322"/>
      <c r="M274" s="79"/>
      <c r="N274" s="322"/>
      <c r="O274" s="323">
        <f t="shared" si="88"/>
        <v>0</v>
      </c>
      <c r="P274" s="638">
        <f t="shared" si="98"/>
        <v>0</v>
      </c>
      <c r="Q274" s="322"/>
      <c r="R274" s="90">
        <f t="shared" si="84"/>
        <v>0</v>
      </c>
      <c r="S274" s="324">
        <f t="shared" si="89"/>
        <v>0</v>
      </c>
      <c r="T274" s="638">
        <f t="shared" si="99"/>
        <v>0</v>
      </c>
      <c r="U274" s="322"/>
      <c r="V274" s="80">
        <f t="shared" si="85"/>
        <v>0</v>
      </c>
      <c r="W274" s="79"/>
      <c r="X274" s="322"/>
      <c r="Y274" s="79"/>
      <c r="Z274" s="322"/>
      <c r="AA274" s="79"/>
      <c r="AB274" s="322"/>
      <c r="AC274" s="79"/>
      <c r="AD274" s="322"/>
      <c r="AE274" s="323">
        <f t="shared" si="90"/>
        <v>0</v>
      </c>
      <c r="AF274" s="638">
        <f t="shared" si="100"/>
        <v>0</v>
      </c>
      <c r="AG274" s="322"/>
      <c r="AH274" s="90">
        <f t="shared" si="91"/>
        <v>0</v>
      </c>
      <c r="AI274" s="80">
        <f t="shared" si="92"/>
        <v>0</v>
      </c>
      <c r="AJ274" s="638">
        <f t="shared" si="101"/>
        <v>0</v>
      </c>
      <c r="AK274" s="322"/>
      <c r="AL274" s="80">
        <f t="shared" si="93"/>
        <v>0</v>
      </c>
      <c r="AM274" s="79"/>
      <c r="AN274" s="322"/>
      <c r="AO274" s="79"/>
      <c r="AP274" s="322"/>
      <c r="AQ274" s="79"/>
      <c r="AR274" s="322"/>
      <c r="AS274" s="79"/>
      <c r="AT274" s="322"/>
      <c r="AU274" s="325">
        <f t="shared" si="94"/>
        <v>0</v>
      </c>
      <c r="AV274" s="90">
        <f t="shared" si="86"/>
        <v>0</v>
      </c>
      <c r="AW274" s="324">
        <f t="shared" si="95"/>
        <v>0</v>
      </c>
      <c r="AX274" s="80">
        <f t="shared" si="87"/>
        <v>0</v>
      </c>
      <c r="AY274" s="326">
        <f t="shared" si="96"/>
        <v>0</v>
      </c>
      <c r="AZ274" s="80">
        <f t="shared" si="97"/>
        <v>0</v>
      </c>
    </row>
    <row r="275" spans="1:52" s="96" customFormat="1">
      <c r="A275" s="194" t="s">
        <v>903</v>
      </c>
      <c r="B275" s="194" t="s">
        <v>49</v>
      </c>
      <c r="C275" s="225">
        <v>160913</v>
      </c>
      <c r="D275" s="196">
        <v>14</v>
      </c>
      <c r="E275" s="162" t="s">
        <v>442</v>
      </c>
      <c r="F275" s="163" t="s">
        <v>442</v>
      </c>
      <c r="G275" s="79"/>
      <c r="H275" s="322"/>
      <c r="I275" s="79"/>
      <c r="J275" s="322"/>
      <c r="K275" s="79"/>
      <c r="L275" s="322"/>
      <c r="M275" s="79"/>
      <c r="N275" s="322"/>
      <c r="O275" s="323">
        <f t="shared" si="88"/>
        <v>0</v>
      </c>
      <c r="P275" s="638">
        <f t="shared" si="98"/>
        <v>0</v>
      </c>
      <c r="Q275" s="322"/>
      <c r="R275" s="90">
        <f t="shared" si="84"/>
        <v>0</v>
      </c>
      <c r="S275" s="324">
        <f t="shared" si="89"/>
        <v>0</v>
      </c>
      <c r="T275" s="638">
        <f t="shared" si="99"/>
        <v>0</v>
      </c>
      <c r="U275" s="322"/>
      <c r="V275" s="80">
        <f t="shared" si="85"/>
        <v>0</v>
      </c>
      <c r="W275" s="79"/>
      <c r="X275" s="322"/>
      <c r="Y275" s="79"/>
      <c r="Z275" s="322"/>
      <c r="AA275" s="79"/>
      <c r="AB275" s="322"/>
      <c r="AC275" s="79"/>
      <c r="AD275" s="322"/>
      <c r="AE275" s="323">
        <f t="shared" si="90"/>
        <v>0</v>
      </c>
      <c r="AF275" s="638">
        <f t="shared" si="100"/>
        <v>0</v>
      </c>
      <c r="AG275" s="322"/>
      <c r="AH275" s="90">
        <f t="shared" si="91"/>
        <v>0</v>
      </c>
      <c r="AI275" s="80">
        <f t="shared" si="92"/>
        <v>0</v>
      </c>
      <c r="AJ275" s="638">
        <f t="shared" si="101"/>
        <v>0</v>
      </c>
      <c r="AK275" s="322"/>
      <c r="AL275" s="80">
        <f t="shared" si="93"/>
        <v>0</v>
      </c>
      <c r="AM275" s="79"/>
      <c r="AN275" s="322"/>
      <c r="AO275" s="79"/>
      <c r="AP275" s="322"/>
      <c r="AQ275" s="79"/>
      <c r="AR275" s="322"/>
      <c r="AS275" s="79"/>
      <c r="AT275" s="322"/>
      <c r="AU275" s="325">
        <f t="shared" si="94"/>
        <v>0</v>
      </c>
      <c r="AV275" s="90">
        <f t="shared" si="86"/>
        <v>0</v>
      </c>
      <c r="AW275" s="324">
        <f t="shared" si="95"/>
        <v>0</v>
      </c>
      <c r="AX275" s="80">
        <f t="shared" si="87"/>
        <v>0</v>
      </c>
      <c r="AY275" s="326">
        <f t="shared" si="96"/>
        <v>0</v>
      </c>
      <c r="AZ275" s="80">
        <f t="shared" si="97"/>
        <v>0</v>
      </c>
    </row>
    <row r="276" spans="1:52">
      <c r="A276" s="206" t="s">
        <v>200</v>
      </c>
      <c r="B276" s="206" t="s">
        <v>201</v>
      </c>
      <c r="C276" s="227">
        <v>163286</v>
      </c>
      <c r="D276" s="209">
        <v>1</v>
      </c>
      <c r="E276" s="162" t="s">
        <v>442</v>
      </c>
      <c r="F276" s="163" t="s">
        <v>442</v>
      </c>
      <c r="G276" s="79">
        <v>11065</v>
      </c>
      <c r="H276" s="322">
        <v>12191</v>
      </c>
      <c r="I276" s="79">
        <v>341195</v>
      </c>
      <c r="J276" s="322">
        <v>355682</v>
      </c>
      <c r="K276" s="79">
        <v>42267</v>
      </c>
      <c r="L276" s="322">
        <v>39224</v>
      </c>
      <c r="M276" s="79">
        <v>363850</v>
      </c>
      <c r="N276" s="322">
        <v>371990</v>
      </c>
      <c r="O276" s="323">
        <f t="shared" si="88"/>
        <v>758377</v>
      </c>
      <c r="P276" s="638">
        <f t="shared" si="98"/>
        <v>0</v>
      </c>
      <c r="Q276" s="639" t="s">
        <v>949</v>
      </c>
      <c r="R276" s="90">
        <f t="shared" ref="R276:R339" si="102">+O276/30</f>
        <v>25279.233333333334</v>
      </c>
      <c r="S276" s="324">
        <f t="shared" si="89"/>
        <v>779087</v>
      </c>
      <c r="T276" s="638">
        <f t="shared" si="99"/>
        <v>0</v>
      </c>
      <c r="U276" s="639" t="s">
        <v>949</v>
      </c>
      <c r="V276" s="80">
        <f t="shared" ref="V276:V339" si="103">+S276/30</f>
        <v>25969.566666666666</v>
      </c>
      <c r="W276" s="79"/>
      <c r="X276" s="322"/>
      <c r="Y276" s="79"/>
      <c r="Z276" s="322"/>
      <c r="AA276" s="79"/>
      <c r="AB276" s="322"/>
      <c r="AC276" s="79"/>
      <c r="AD276" s="322"/>
      <c r="AE276" s="323">
        <f t="shared" si="90"/>
        <v>0</v>
      </c>
      <c r="AF276" s="638">
        <f t="shared" si="100"/>
        <v>0</v>
      </c>
      <c r="AG276" s="322"/>
      <c r="AH276" s="90">
        <f t="shared" si="91"/>
        <v>0</v>
      </c>
      <c r="AI276" s="80">
        <f t="shared" si="92"/>
        <v>0</v>
      </c>
      <c r="AJ276" s="638">
        <f t="shared" si="101"/>
        <v>0</v>
      </c>
      <c r="AK276" s="322"/>
      <c r="AL276" s="80">
        <f t="shared" si="93"/>
        <v>0</v>
      </c>
      <c r="AM276" s="79">
        <f>1517+28+2</f>
        <v>1547</v>
      </c>
      <c r="AN276" s="322">
        <f>1815+230+42</f>
        <v>2087</v>
      </c>
      <c r="AO276" s="79">
        <f>34940+16542+12047</f>
        <v>63529</v>
      </c>
      <c r="AP276" s="322">
        <f>36621+16716+11677</f>
        <v>65014</v>
      </c>
      <c r="AQ276" s="79">
        <f>9993+1042+555</f>
        <v>11590</v>
      </c>
      <c r="AR276" s="322">
        <f>9398+903+502</f>
        <v>10803</v>
      </c>
      <c r="AS276" s="79">
        <f>39036+18778+11147</f>
        <v>68961</v>
      </c>
      <c r="AT276" s="322">
        <f>40771+19635+11130</f>
        <v>71536</v>
      </c>
      <c r="AU276" s="325">
        <f t="shared" si="94"/>
        <v>145627</v>
      </c>
      <c r="AV276" s="90">
        <f t="shared" ref="AV276:AV339" si="104">+AU276/24</f>
        <v>6067.791666666667</v>
      </c>
      <c r="AW276" s="324">
        <f t="shared" si="95"/>
        <v>149440</v>
      </c>
      <c r="AX276" s="80">
        <f t="shared" ref="AX276:AX339" si="105">+AW276/24</f>
        <v>6226.666666666667</v>
      </c>
      <c r="AY276" s="326">
        <f t="shared" si="96"/>
        <v>31347.025000000001</v>
      </c>
      <c r="AZ276" s="80">
        <f t="shared" si="97"/>
        <v>32196.233333333334</v>
      </c>
    </row>
    <row r="277" spans="1:52">
      <c r="A277" s="206" t="s">
        <v>200</v>
      </c>
      <c r="B277" s="206" t="s">
        <v>202</v>
      </c>
      <c r="C277" s="227">
        <v>163268</v>
      </c>
      <c r="D277" s="209">
        <v>2</v>
      </c>
      <c r="E277" s="162" t="s">
        <v>442</v>
      </c>
      <c r="F277" s="163" t="s">
        <v>442</v>
      </c>
      <c r="G277" s="79">
        <v>4769</v>
      </c>
      <c r="H277" s="322">
        <v>5131</v>
      </c>
      <c r="I277" s="79">
        <v>119872</v>
      </c>
      <c r="J277" s="322">
        <v>119669</v>
      </c>
      <c r="K277" s="79">
        <v>15352</v>
      </c>
      <c r="L277" s="322">
        <v>15657</v>
      </c>
      <c r="M277" s="79">
        <v>128133</v>
      </c>
      <c r="N277" s="322">
        <v>131840</v>
      </c>
      <c r="O277" s="323">
        <f t="shared" si="88"/>
        <v>268126</v>
      </c>
      <c r="P277" s="638">
        <f t="shared" si="98"/>
        <v>0</v>
      </c>
      <c r="Q277" s="639" t="s">
        <v>949</v>
      </c>
      <c r="R277" s="90">
        <f t="shared" si="102"/>
        <v>8937.5333333333328</v>
      </c>
      <c r="S277" s="324">
        <f t="shared" si="89"/>
        <v>272297</v>
      </c>
      <c r="T277" s="638">
        <f t="shared" si="99"/>
        <v>0</v>
      </c>
      <c r="U277" s="639" t="s">
        <v>949</v>
      </c>
      <c r="V277" s="80">
        <f t="shared" si="103"/>
        <v>9076.5666666666675</v>
      </c>
      <c r="W277" s="79"/>
      <c r="X277" s="322"/>
      <c r="Y277" s="79"/>
      <c r="Z277" s="322"/>
      <c r="AA277" s="79"/>
      <c r="AB277" s="322"/>
      <c r="AC277" s="79"/>
      <c r="AD277" s="322"/>
      <c r="AE277" s="323">
        <f t="shared" si="90"/>
        <v>0</v>
      </c>
      <c r="AF277" s="638">
        <f t="shared" si="100"/>
        <v>0</v>
      </c>
      <c r="AG277" s="322"/>
      <c r="AH277" s="90">
        <f t="shared" si="91"/>
        <v>0</v>
      </c>
      <c r="AI277" s="80">
        <f t="shared" si="92"/>
        <v>0</v>
      </c>
      <c r="AJ277" s="638">
        <f t="shared" si="101"/>
        <v>0</v>
      </c>
      <c r="AK277" s="322"/>
      <c r="AL277" s="80">
        <f t="shared" si="93"/>
        <v>0</v>
      </c>
      <c r="AM277" s="79">
        <f>274+4</f>
        <v>278</v>
      </c>
      <c r="AN277" s="322">
        <v>222</v>
      </c>
      <c r="AO277" s="79">
        <f>7189+2457+1877</f>
        <v>11523</v>
      </c>
      <c r="AP277" s="322">
        <f>8185+1772+2318</f>
        <v>12275</v>
      </c>
      <c r="AQ277" s="79">
        <f>1961+258+51</f>
        <v>2270</v>
      </c>
      <c r="AR277" s="322">
        <f>2081+85+141</f>
        <v>2307</v>
      </c>
      <c r="AS277" s="79">
        <f>8661+2024+2356</f>
        <v>13041</v>
      </c>
      <c r="AT277" s="322">
        <f>9629+2088+2266</f>
        <v>13983</v>
      </c>
      <c r="AU277" s="325">
        <f t="shared" si="94"/>
        <v>27112</v>
      </c>
      <c r="AV277" s="90">
        <f t="shared" si="104"/>
        <v>1129.6666666666667</v>
      </c>
      <c r="AW277" s="324">
        <f t="shared" si="95"/>
        <v>28787</v>
      </c>
      <c r="AX277" s="80">
        <f t="shared" si="105"/>
        <v>1199.4583333333333</v>
      </c>
      <c r="AY277" s="326">
        <f t="shared" si="96"/>
        <v>10067.199999999999</v>
      </c>
      <c r="AZ277" s="80">
        <f t="shared" si="97"/>
        <v>10276.025000000001</v>
      </c>
    </row>
    <row r="278" spans="1:52">
      <c r="A278" s="206" t="s">
        <v>200</v>
      </c>
      <c r="B278" s="388" t="s">
        <v>206</v>
      </c>
      <c r="C278" s="389">
        <v>163453</v>
      </c>
      <c r="D278" s="410">
        <v>3</v>
      </c>
      <c r="E278" s="162" t="s">
        <v>442</v>
      </c>
      <c r="F278" s="163" t="s">
        <v>442</v>
      </c>
      <c r="G278" s="79">
        <v>1061</v>
      </c>
      <c r="H278" s="322">
        <v>729</v>
      </c>
      <c r="I278" s="79">
        <v>72605</v>
      </c>
      <c r="J278" s="322">
        <v>76967</v>
      </c>
      <c r="K278" s="79">
        <v>2386</v>
      </c>
      <c r="L278" s="322">
        <v>3609</v>
      </c>
      <c r="M278" s="79">
        <v>81734</v>
      </c>
      <c r="N278" s="322">
        <v>82732</v>
      </c>
      <c r="O278" s="323">
        <f t="shared" si="88"/>
        <v>157786</v>
      </c>
      <c r="P278" s="638">
        <f t="shared" si="98"/>
        <v>0</v>
      </c>
      <c r="Q278" s="639" t="s">
        <v>949</v>
      </c>
      <c r="R278" s="90">
        <f t="shared" si="102"/>
        <v>5259.5333333333338</v>
      </c>
      <c r="S278" s="324">
        <f t="shared" si="89"/>
        <v>164037</v>
      </c>
      <c r="T278" s="638">
        <f t="shared" si="99"/>
        <v>0</v>
      </c>
      <c r="U278" s="639" t="s">
        <v>949</v>
      </c>
      <c r="V278" s="80">
        <f t="shared" si="103"/>
        <v>5467.9</v>
      </c>
      <c r="W278" s="79"/>
      <c r="X278" s="322"/>
      <c r="Y278" s="79"/>
      <c r="Z278" s="322"/>
      <c r="AA278" s="79"/>
      <c r="AB278" s="322"/>
      <c r="AC278" s="79"/>
      <c r="AD278" s="322"/>
      <c r="AE278" s="323">
        <f t="shared" si="90"/>
        <v>0</v>
      </c>
      <c r="AF278" s="638">
        <f t="shared" si="100"/>
        <v>0</v>
      </c>
      <c r="AG278" s="322"/>
      <c r="AH278" s="90">
        <f t="shared" si="91"/>
        <v>0</v>
      </c>
      <c r="AI278" s="80">
        <f t="shared" si="92"/>
        <v>0</v>
      </c>
      <c r="AJ278" s="638">
        <f t="shared" si="101"/>
        <v>0</v>
      </c>
      <c r="AK278" s="322"/>
      <c r="AL278" s="80">
        <f t="shared" si="93"/>
        <v>0</v>
      </c>
      <c r="AM278" s="79">
        <v>32</v>
      </c>
      <c r="AN278" s="322">
        <v>0</v>
      </c>
      <c r="AO278" s="79">
        <v>4786</v>
      </c>
      <c r="AP278" s="322">
        <v>6588</v>
      </c>
      <c r="AQ278" s="79">
        <v>574</v>
      </c>
      <c r="AR278" s="322">
        <v>439</v>
      </c>
      <c r="AS278" s="79">
        <v>6475</v>
      </c>
      <c r="AT278" s="322">
        <v>6737</v>
      </c>
      <c r="AU278" s="325">
        <f t="shared" si="94"/>
        <v>11867</v>
      </c>
      <c r="AV278" s="90">
        <f t="shared" si="104"/>
        <v>494.45833333333331</v>
      </c>
      <c r="AW278" s="324">
        <f t="shared" si="95"/>
        <v>13764</v>
      </c>
      <c r="AX278" s="80">
        <f t="shared" si="105"/>
        <v>573.5</v>
      </c>
      <c r="AY278" s="326">
        <f t="shared" si="96"/>
        <v>5753.9916666666668</v>
      </c>
      <c r="AZ278" s="80">
        <f t="shared" si="97"/>
        <v>6041.4</v>
      </c>
    </row>
    <row r="279" spans="1:52">
      <c r="A279" s="206" t="s">
        <v>200</v>
      </c>
      <c r="B279" s="208" t="s">
        <v>203</v>
      </c>
      <c r="C279" s="228">
        <v>164076</v>
      </c>
      <c r="D279" s="358">
        <v>3</v>
      </c>
      <c r="E279" s="162" t="s">
        <v>442</v>
      </c>
      <c r="F279" s="163" t="s">
        <v>442</v>
      </c>
      <c r="G279" s="79">
        <v>6061</v>
      </c>
      <c r="H279" s="322">
        <v>6050</v>
      </c>
      <c r="I279" s="79">
        <v>198975</v>
      </c>
      <c r="J279" s="322">
        <v>208688</v>
      </c>
      <c r="K279" s="79">
        <v>19297</v>
      </c>
      <c r="L279" s="322">
        <v>21338</v>
      </c>
      <c r="M279" s="79">
        <v>218413</v>
      </c>
      <c r="N279" s="322">
        <v>236613</v>
      </c>
      <c r="O279" s="323">
        <f t="shared" si="88"/>
        <v>442746</v>
      </c>
      <c r="P279" s="638">
        <f t="shared" si="98"/>
        <v>0</v>
      </c>
      <c r="Q279" s="639" t="s">
        <v>949</v>
      </c>
      <c r="R279" s="90">
        <f t="shared" si="102"/>
        <v>14758.2</v>
      </c>
      <c r="S279" s="324">
        <f t="shared" si="89"/>
        <v>472689</v>
      </c>
      <c r="T279" s="638">
        <f t="shared" si="99"/>
        <v>0</v>
      </c>
      <c r="U279" s="639" t="s">
        <v>949</v>
      </c>
      <c r="V279" s="80">
        <f t="shared" si="103"/>
        <v>15756.3</v>
      </c>
      <c r="W279" s="79"/>
      <c r="X279" s="322"/>
      <c r="Y279" s="79"/>
      <c r="Z279" s="322"/>
      <c r="AA279" s="79"/>
      <c r="AB279" s="322"/>
      <c r="AC279" s="79"/>
      <c r="AD279" s="322"/>
      <c r="AE279" s="323">
        <f t="shared" si="90"/>
        <v>0</v>
      </c>
      <c r="AF279" s="638">
        <f t="shared" si="100"/>
        <v>0</v>
      </c>
      <c r="AG279" s="322"/>
      <c r="AH279" s="90">
        <f t="shared" si="91"/>
        <v>0</v>
      </c>
      <c r="AI279" s="80">
        <f t="shared" si="92"/>
        <v>0</v>
      </c>
      <c r="AJ279" s="638">
        <f t="shared" si="101"/>
        <v>0</v>
      </c>
      <c r="AK279" s="322"/>
      <c r="AL279" s="80">
        <f t="shared" si="93"/>
        <v>0</v>
      </c>
      <c r="AM279" s="79">
        <v>1073</v>
      </c>
      <c r="AN279" s="322">
        <v>1067</v>
      </c>
      <c r="AO279" s="79">
        <v>19976</v>
      </c>
      <c r="AP279" s="322">
        <v>21364</v>
      </c>
      <c r="AQ279" s="79">
        <f>9692</f>
        <v>9692</v>
      </c>
      <c r="AR279" s="322">
        <f>10289</f>
        <v>10289</v>
      </c>
      <c r="AS279" s="79">
        <v>23390</v>
      </c>
      <c r="AT279" s="322">
        <f>23120</f>
        <v>23120</v>
      </c>
      <c r="AU279" s="325">
        <f t="shared" si="94"/>
        <v>54131</v>
      </c>
      <c r="AV279" s="90">
        <f t="shared" si="104"/>
        <v>2255.4583333333335</v>
      </c>
      <c r="AW279" s="324">
        <f t="shared" si="95"/>
        <v>55840</v>
      </c>
      <c r="AX279" s="80">
        <f t="shared" si="105"/>
        <v>2326.6666666666665</v>
      </c>
      <c r="AY279" s="326">
        <f t="shared" si="96"/>
        <v>17013.658333333333</v>
      </c>
      <c r="AZ279" s="80">
        <f t="shared" si="97"/>
        <v>18082.966666666667</v>
      </c>
    </row>
    <row r="280" spans="1:52">
      <c r="A280" s="206" t="s">
        <v>200</v>
      </c>
      <c r="B280" s="208" t="s">
        <v>204</v>
      </c>
      <c r="C280" s="228">
        <v>162007</v>
      </c>
      <c r="D280" s="358">
        <v>4</v>
      </c>
      <c r="E280" s="162" t="s">
        <v>442</v>
      </c>
      <c r="F280" s="163" t="s">
        <v>442</v>
      </c>
      <c r="G280" s="79">
        <f>216+729</f>
        <v>945</v>
      </c>
      <c r="H280" s="322">
        <v>1179</v>
      </c>
      <c r="I280" s="79">
        <v>50837</v>
      </c>
      <c r="J280" s="322">
        <v>54115</v>
      </c>
      <c r="K280" s="79">
        <f>1087+2306</f>
        <v>3393</v>
      </c>
      <c r="L280" s="322">
        <v>3456</v>
      </c>
      <c r="M280" s="79">
        <v>57685</v>
      </c>
      <c r="N280" s="322">
        <v>59724</v>
      </c>
      <c r="O280" s="323">
        <f t="shared" si="88"/>
        <v>112860</v>
      </c>
      <c r="P280" s="638">
        <f t="shared" si="98"/>
        <v>0</v>
      </c>
      <c r="Q280" s="639" t="s">
        <v>949</v>
      </c>
      <c r="R280" s="90">
        <f t="shared" si="102"/>
        <v>3762</v>
      </c>
      <c r="S280" s="324">
        <f t="shared" si="89"/>
        <v>118474</v>
      </c>
      <c r="T280" s="638">
        <f t="shared" si="99"/>
        <v>0</v>
      </c>
      <c r="U280" s="639" t="s">
        <v>949</v>
      </c>
      <c r="V280" s="80">
        <f t="shared" si="103"/>
        <v>3949.1333333333332</v>
      </c>
      <c r="W280" s="79"/>
      <c r="X280" s="322"/>
      <c r="Y280" s="79"/>
      <c r="Z280" s="322"/>
      <c r="AA280" s="79"/>
      <c r="AB280" s="322"/>
      <c r="AC280" s="79"/>
      <c r="AD280" s="322"/>
      <c r="AE280" s="323">
        <f t="shared" si="90"/>
        <v>0</v>
      </c>
      <c r="AF280" s="638">
        <f t="shared" si="100"/>
        <v>0</v>
      </c>
      <c r="AG280" s="322"/>
      <c r="AH280" s="90">
        <f t="shared" si="91"/>
        <v>0</v>
      </c>
      <c r="AI280" s="80">
        <f t="shared" si="92"/>
        <v>0</v>
      </c>
      <c r="AJ280" s="638">
        <f t="shared" si="101"/>
        <v>0</v>
      </c>
      <c r="AK280" s="322"/>
      <c r="AL280" s="80">
        <f t="shared" si="93"/>
        <v>0</v>
      </c>
      <c r="AM280" s="79">
        <f>363+119</f>
        <v>482</v>
      </c>
      <c r="AN280" s="322">
        <f>162+106</f>
        <v>268</v>
      </c>
      <c r="AO280" s="79">
        <f>3660+3661+112</f>
        <v>7433</v>
      </c>
      <c r="AP280" s="322">
        <f>3362+3258+102</f>
        <v>6722</v>
      </c>
      <c r="AQ280" s="79">
        <f>640+345+39</f>
        <v>1024</v>
      </c>
      <c r="AR280" s="322">
        <f>1022+599+123</f>
        <v>1744</v>
      </c>
      <c r="AS280" s="79">
        <f>3734+2526+93</f>
        <v>6353</v>
      </c>
      <c r="AT280" s="322">
        <f>4099+2848+183</f>
        <v>7130</v>
      </c>
      <c r="AU280" s="325">
        <f t="shared" si="94"/>
        <v>15292</v>
      </c>
      <c r="AV280" s="90">
        <f t="shared" si="104"/>
        <v>637.16666666666663</v>
      </c>
      <c r="AW280" s="324">
        <f t="shared" si="95"/>
        <v>15864</v>
      </c>
      <c r="AX280" s="80">
        <f t="shared" si="105"/>
        <v>661</v>
      </c>
      <c r="AY280" s="326">
        <f t="shared" si="96"/>
        <v>4399.166666666667</v>
      </c>
      <c r="AZ280" s="80">
        <f t="shared" si="97"/>
        <v>4610.1333333333332</v>
      </c>
    </row>
    <row r="281" spans="1:52">
      <c r="A281" s="206" t="s">
        <v>200</v>
      </c>
      <c r="B281" s="208" t="s">
        <v>210</v>
      </c>
      <c r="C281" s="228">
        <v>162283</v>
      </c>
      <c r="D281" s="358">
        <v>4</v>
      </c>
      <c r="E281" s="162" t="s">
        <v>442</v>
      </c>
      <c r="F281" s="163" t="s">
        <v>442</v>
      </c>
      <c r="G281" s="79">
        <v>925</v>
      </c>
      <c r="H281" s="322">
        <v>776</v>
      </c>
      <c r="I281" s="79">
        <v>38397</v>
      </c>
      <c r="J281" s="322">
        <v>37980</v>
      </c>
      <c r="K281" s="79">
        <v>2262</v>
      </c>
      <c r="L281" s="322">
        <v>2468</v>
      </c>
      <c r="M281" s="79">
        <v>41549</v>
      </c>
      <c r="N281" s="322">
        <v>43365</v>
      </c>
      <c r="O281" s="323">
        <f t="shared" si="88"/>
        <v>83133</v>
      </c>
      <c r="P281" s="638">
        <f t="shared" si="98"/>
        <v>0</v>
      </c>
      <c r="Q281" s="639" t="s">
        <v>949</v>
      </c>
      <c r="R281" s="90">
        <f t="shared" si="102"/>
        <v>2771.1</v>
      </c>
      <c r="S281" s="324">
        <f t="shared" si="89"/>
        <v>84589</v>
      </c>
      <c r="T281" s="638">
        <f t="shared" si="99"/>
        <v>0</v>
      </c>
      <c r="U281" s="639" t="s">
        <v>949</v>
      </c>
      <c r="V281" s="80">
        <f t="shared" si="103"/>
        <v>2819.6333333333332</v>
      </c>
      <c r="W281" s="79"/>
      <c r="X281" s="322"/>
      <c r="Y281" s="79"/>
      <c r="Z281" s="322"/>
      <c r="AA281" s="79"/>
      <c r="AB281" s="322"/>
      <c r="AC281" s="79"/>
      <c r="AD281" s="322"/>
      <c r="AE281" s="323">
        <f t="shared" si="90"/>
        <v>0</v>
      </c>
      <c r="AF281" s="638">
        <f t="shared" si="100"/>
        <v>0</v>
      </c>
      <c r="AG281" s="322"/>
      <c r="AH281" s="90">
        <f t="shared" si="91"/>
        <v>0</v>
      </c>
      <c r="AI281" s="80">
        <f t="shared" si="92"/>
        <v>0</v>
      </c>
      <c r="AJ281" s="638">
        <f t="shared" si="101"/>
        <v>0</v>
      </c>
      <c r="AK281" s="322"/>
      <c r="AL281" s="80">
        <f t="shared" si="93"/>
        <v>0</v>
      </c>
      <c r="AM281" s="79">
        <v>170</v>
      </c>
      <c r="AN281" s="322">
        <v>100</v>
      </c>
      <c r="AO281" s="79">
        <v>4134</v>
      </c>
      <c r="AP281" s="322">
        <v>4287</v>
      </c>
      <c r="AQ281" s="79">
        <v>889</v>
      </c>
      <c r="AR281" s="322">
        <v>954</v>
      </c>
      <c r="AS281" s="79">
        <f>4118</f>
        <v>4118</v>
      </c>
      <c r="AT281" s="322">
        <v>4245</v>
      </c>
      <c r="AU281" s="325">
        <f t="shared" si="94"/>
        <v>9311</v>
      </c>
      <c r="AV281" s="90">
        <f t="shared" si="104"/>
        <v>387.95833333333331</v>
      </c>
      <c r="AW281" s="324">
        <f t="shared" si="95"/>
        <v>9586</v>
      </c>
      <c r="AX281" s="80">
        <f t="shared" si="105"/>
        <v>399.41666666666669</v>
      </c>
      <c r="AY281" s="326">
        <f t="shared" si="96"/>
        <v>3159.0583333333334</v>
      </c>
      <c r="AZ281" s="80">
        <f t="shared" si="97"/>
        <v>3219.0499999999997</v>
      </c>
    </row>
    <row r="282" spans="1:52">
      <c r="A282" s="206" t="s">
        <v>200</v>
      </c>
      <c r="B282" s="208" t="s">
        <v>205</v>
      </c>
      <c r="C282" s="228">
        <v>162584</v>
      </c>
      <c r="D282" s="409">
        <v>4</v>
      </c>
      <c r="E282" s="162" t="s">
        <v>442</v>
      </c>
      <c r="F282" s="163" t="s">
        <v>442</v>
      </c>
      <c r="G282" s="79">
        <v>1848</v>
      </c>
      <c r="H282" s="322">
        <v>2214</v>
      </c>
      <c r="I282" s="79">
        <v>55690</v>
      </c>
      <c r="J282" s="322">
        <v>57137</v>
      </c>
      <c r="K282" s="79">
        <v>3891</v>
      </c>
      <c r="L282" s="322">
        <v>3855</v>
      </c>
      <c r="M282" s="79">
        <v>60803</v>
      </c>
      <c r="N282" s="322">
        <v>64173</v>
      </c>
      <c r="O282" s="323">
        <f t="shared" si="88"/>
        <v>122232</v>
      </c>
      <c r="P282" s="638">
        <f t="shared" si="98"/>
        <v>0</v>
      </c>
      <c r="Q282" s="639" t="s">
        <v>949</v>
      </c>
      <c r="R282" s="90">
        <f t="shared" si="102"/>
        <v>4074.4</v>
      </c>
      <c r="S282" s="324">
        <f t="shared" si="89"/>
        <v>127379</v>
      </c>
      <c r="T282" s="638">
        <f t="shared" si="99"/>
        <v>0</v>
      </c>
      <c r="U282" s="639" t="s">
        <v>949</v>
      </c>
      <c r="V282" s="80">
        <f t="shared" si="103"/>
        <v>4245.9666666666662</v>
      </c>
      <c r="W282" s="79"/>
      <c r="X282" s="322"/>
      <c r="Y282" s="79"/>
      <c r="Z282" s="322"/>
      <c r="AA282" s="79"/>
      <c r="AB282" s="322"/>
      <c r="AC282" s="79"/>
      <c r="AD282" s="322"/>
      <c r="AE282" s="323">
        <f t="shared" si="90"/>
        <v>0</v>
      </c>
      <c r="AF282" s="638">
        <f t="shared" si="100"/>
        <v>0</v>
      </c>
      <c r="AG282" s="322"/>
      <c r="AH282" s="90">
        <f t="shared" si="91"/>
        <v>0</v>
      </c>
      <c r="AI282" s="80">
        <f t="shared" si="92"/>
        <v>0</v>
      </c>
      <c r="AJ282" s="638">
        <f t="shared" si="101"/>
        <v>0</v>
      </c>
      <c r="AK282" s="322"/>
      <c r="AL282" s="80">
        <f t="shared" si="93"/>
        <v>0</v>
      </c>
      <c r="AM282" s="79">
        <v>426</v>
      </c>
      <c r="AN282" s="322">
        <v>486</v>
      </c>
      <c r="AO282" s="79">
        <v>3826</v>
      </c>
      <c r="AP282" s="322">
        <v>4090</v>
      </c>
      <c r="AQ282" s="79">
        <v>2736</v>
      </c>
      <c r="AR282" s="322">
        <v>2270</v>
      </c>
      <c r="AS282" s="79">
        <v>3924</v>
      </c>
      <c r="AT282" s="322">
        <f>3872</f>
        <v>3872</v>
      </c>
      <c r="AU282" s="325">
        <f t="shared" si="94"/>
        <v>10912</v>
      </c>
      <c r="AV282" s="90">
        <f t="shared" si="104"/>
        <v>454.66666666666669</v>
      </c>
      <c r="AW282" s="324">
        <f t="shared" si="95"/>
        <v>10718</v>
      </c>
      <c r="AX282" s="80">
        <f t="shared" si="105"/>
        <v>446.58333333333331</v>
      </c>
      <c r="AY282" s="326">
        <f t="shared" si="96"/>
        <v>4529.0666666666666</v>
      </c>
      <c r="AZ282" s="80">
        <f t="shared" si="97"/>
        <v>4692.5499999999993</v>
      </c>
    </row>
    <row r="283" spans="1:52">
      <c r="A283" s="206" t="s">
        <v>200</v>
      </c>
      <c r="B283" s="208" t="s">
        <v>207</v>
      </c>
      <c r="C283" s="228">
        <v>163851</v>
      </c>
      <c r="D283" s="358">
        <v>4</v>
      </c>
      <c r="E283" s="162" t="s">
        <v>442</v>
      </c>
      <c r="F283" s="163" t="s">
        <v>442</v>
      </c>
      <c r="G283" s="79">
        <v>5174</v>
      </c>
      <c r="H283" s="322">
        <v>6033</v>
      </c>
      <c r="I283" s="79">
        <v>92019</v>
      </c>
      <c r="J283" s="322">
        <v>96080</v>
      </c>
      <c r="K283" s="79">
        <v>5436</v>
      </c>
      <c r="L283" s="322">
        <v>5909</v>
      </c>
      <c r="M283" s="79">
        <v>98776</v>
      </c>
      <c r="N283" s="322">
        <v>105255</v>
      </c>
      <c r="O283" s="323">
        <f t="shared" si="88"/>
        <v>201405</v>
      </c>
      <c r="P283" s="638">
        <f t="shared" si="98"/>
        <v>0</v>
      </c>
      <c r="Q283" s="639" t="s">
        <v>949</v>
      </c>
      <c r="R283" s="90">
        <f t="shared" si="102"/>
        <v>6713.5</v>
      </c>
      <c r="S283" s="324">
        <f t="shared" si="89"/>
        <v>213277</v>
      </c>
      <c r="T283" s="638">
        <f t="shared" si="99"/>
        <v>0</v>
      </c>
      <c r="U283" s="639" t="s">
        <v>949</v>
      </c>
      <c r="V283" s="80">
        <f t="shared" si="103"/>
        <v>7109.2333333333336</v>
      </c>
      <c r="W283" s="79"/>
      <c r="X283" s="322"/>
      <c r="Y283" s="79"/>
      <c r="Z283" s="322"/>
      <c r="AA283" s="79"/>
      <c r="AB283" s="322"/>
      <c r="AC283" s="79"/>
      <c r="AD283" s="322"/>
      <c r="AE283" s="323">
        <f t="shared" si="90"/>
        <v>0</v>
      </c>
      <c r="AF283" s="638">
        <f t="shared" si="100"/>
        <v>0</v>
      </c>
      <c r="AG283" s="322"/>
      <c r="AH283" s="90">
        <f t="shared" si="91"/>
        <v>0</v>
      </c>
      <c r="AI283" s="80">
        <f t="shared" si="92"/>
        <v>0</v>
      </c>
      <c r="AJ283" s="638">
        <f t="shared" si="101"/>
        <v>0</v>
      </c>
      <c r="AK283" s="322"/>
      <c r="AL283" s="80">
        <f t="shared" si="93"/>
        <v>0</v>
      </c>
      <c r="AM283" s="79">
        <v>185</v>
      </c>
      <c r="AN283" s="322">
        <v>269</v>
      </c>
      <c r="AO283" s="79">
        <v>3715</v>
      </c>
      <c r="AP283" s="322">
        <v>4029</v>
      </c>
      <c r="AQ283" s="79">
        <v>1462</v>
      </c>
      <c r="AR283" s="322">
        <v>1293</v>
      </c>
      <c r="AS283" s="79">
        <v>3984</v>
      </c>
      <c r="AT283" s="322">
        <v>4058</v>
      </c>
      <c r="AU283" s="325">
        <f t="shared" si="94"/>
        <v>9346</v>
      </c>
      <c r="AV283" s="90">
        <f t="shared" si="104"/>
        <v>389.41666666666669</v>
      </c>
      <c r="AW283" s="324">
        <f t="shared" si="95"/>
        <v>9649</v>
      </c>
      <c r="AX283" s="80">
        <f t="shared" si="105"/>
        <v>402.04166666666669</v>
      </c>
      <c r="AY283" s="326">
        <f t="shared" si="96"/>
        <v>7102.916666666667</v>
      </c>
      <c r="AZ283" s="80">
        <f t="shared" si="97"/>
        <v>7511.2750000000005</v>
      </c>
    </row>
    <row r="284" spans="1:52">
      <c r="A284" s="206" t="s">
        <v>200</v>
      </c>
      <c r="B284" s="208" t="s">
        <v>208</v>
      </c>
      <c r="C284" s="228">
        <v>161873</v>
      </c>
      <c r="D284" s="358">
        <v>4</v>
      </c>
      <c r="E284" s="162" t="s">
        <v>442</v>
      </c>
      <c r="F284" s="163" t="s">
        <v>442</v>
      </c>
      <c r="G284" s="79">
        <v>0</v>
      </c>
      <c r="H284" s="322">
        <v>0</v>
      </c>
      <c r="I284" s="79">
        <v>20111</v>
      </c>
      <c r="J284" s="322">
        <v>23227</v>
      </c>
      <c r="K284" s="79">
        <v>3163</v>
      </c>
      <c r="L284" s="322">
        <v>3913</v>
      </c>
      <c r="M284" s="79">
        <v>24050</v>
      </c>
      <c r="N284" s="322">
        <v>27459</v>
      </c>
      <c r="O284" s="323">
        <f t="shared" si="88"/>
        <v>47324</v>
      </c>
      <c r="P284" s="638">
        <f t="shared" si="98"/>
        <v>0</v>
      </c>
      <c r="Q284" s="639" t="s">
        <v>949</v>
      </c>
      <c r="R284" s="90">
        <f t="shared" si="102"/>
        <v>1577.4666666666667</v>
      </c>
      <c r="S284" s="324">
        <f t="shared" si="89"/>
        <v>54599</v>
      </c>
      <c r="T284" s="638">
        <f t="shared" si="99"/>
        <v>0</v>
      </c>
      <c r="U284" s="639" t="s">
        <v>949</v>
      </c>
      <c r="V284" s="80">
        <f t="shared" si="103"/>
        <v>1819.9666666666667</v>
      </c>
      <c r="W284" s="79"/>
      <c r="X284" s="322"/>
      <c r="Y284" s="79"/>
      <c r="Z284" s="322"/>
      <c r="AA284" s="79"/>
      <c r="AB284" s="322"/>
      <c r="AC284" s="79"/>
      <c r="AD284" s="322"/>
      <c r="AE284" s="323">
        <f t="shared" si="90"/>
        <v>0</v>
      </c>
      <c r="AF284" s="638">
        <f t="shared" si="100"/>
        <v>0</v>
      </c>
      <c r="AG284" s="322"/>
      <c r="AH284" s="90">
        <f t="shared" si="91"/>
        <v>0</v>
      </c>
      <c r="AI284" s="80">
        <f t="shared" si="92"/>
        <v>0</v>
      </c>
      <c r="AJ284" s="638">
        <f t="shared" si="101"/>
        <v>0</v>
      </c>
      <c r="AK284" s="322"/>
      <c r="AL284" s="80">
        <f t="shared" si="93"/>
        <v>0</v>
      </c>
      <c r="AM284" s="79">
        <v>0</v>
      </c>
      <c r="AN284" s="322">
        <v>0</v>
      </c>
      <c r="AO284" s="79">
        <v>23928</v>
      </c>
      <c r="AP284" s="322">
        <v>25281</v>
      </c>
      <c r="AQ284" s="79">
        <v>4326</v>
      </c>
      <c r="AR284" s="322">
        <v>5038</v>
      </c>
      <c r="AS284" s="79">
        <v>26282</v>
      </c>
      <c r="AT284" s="322">
        <v>27026</v>
      </c>
      <c r="AU284" s="325">
        <f t="shared" si="94"/>
        <v>54536</v>
      </c>
      <c r="AV284" s="90">
        <f t="shared" si="104"/>
        <v>2272.3333333333335</v>
      </c>
      <c r="AW284" s="324">
        <f t="shared" si="95"/>
        <v>57345</v>
      </c>
      <c r="AX284" s="80">
        <f t="shared" si="105"/>
        <v>2389.375</v>
      </c>
      <c r="AY284" s="326">
        <f t="shared" si="96"/>
        <v>3849.8</v>
      </c>
      <c r="AZ284" s="80">
        <f t="shared" si="97"/>
        <v>4209.3416666666672</v>
      </c>
    </row>
    <row r="285" spans="1:52">
      <c r="A285" s="206" t="s">
        <v>200</v>
      </c>
      <c r="B285" s="206" t="s">
        <v>209</v>
      </c>
      <c r="C285" s="227">
        <v>163338</v>
      </c>
      <c r="D285" s="209">
        <v>4</v>
      </c>
      <c r="E285" s="162" t="s">
        <v>442</v>
      </c>
      <c r="F285" s="163" t="s">
        <v>442</v>
      </c>
      <c r="G285" s="79">
        <v>1176</v>
      </c>
      <c r="H285" s="322">
        <v>972</v>
      </c>
      <c r="I285" s="79">
        <v>46948</v>
      </c>
      <c r="J285" s="322">
        <v>45460</v>
      </c>
      <c r="K285" s="79">
        <v>2434</v>
      </c>
      <c r="L285" s="322">
        <v>2659</v>
      </c>
      <c r="M285" s="79">
        <v>51002</v>
      </c>
      <c r="N285" s="322">
        <v>56323</v>
      </c>
      <c r="O285" s="323">
        <f t="shared" si="88"/>
        <v>101560</v>
      </c>
      <c r="P285" s="638">
        <f t="shared" si="98"/>
        <v>0</v>
      </c>
      <c r="Q285" s="639" t="s">
        <v>949</v>
      </c>
      <c r="R285" s="90">
        <f t="shared" si="102"/>
        <v>3385.3333333333335</v>
      </c>
      <c r="S285" s="324">
        <f t="shared" si="89"/>
        <v>105414</v>
      </c>
      <c r="T285" s="638">
        <f t="shared" si="99"/>
        <v>0</v>
      </c>
      <c r="U285" s="639" t="s">
        <v>949</v>
      </c>
      <c r="V285" s="80">
        <f t="shared" si="103"/>
        <v>3513.8</v>
      </c>
      <c r="W285" s="79"/>
      <c r="X285" s="322"/>
      <c r="Y285" s="79"/>
      <c r="Z285" s="322"/>
      <c r="AA285" s="79"/>
      <c r="AB285" s="322"/>
      <c r="AC285" s="79"/>
      <c r="AD285" s="322"/>
      <c r="AE285" s="323">
        <f t="shared" si="90"/>
        <v>0</v>
      </c>
      <c r="AF285" s="638">
        <f t="shared" si="100"/>
        <v>0</v>
      </c>
      <c r="AG285" s="322"/>
      <c r="AH285" s="90">
        <f t="shared" si="91"/>
        <v>0</v>
      </c>
      <c r="AI285" s="80">
        <f t="shared" si="92"/>
        <v>0</v>
      </c>
      <c r="AJ285" s="638">
        <f t="shared" si="101"/>
        <v>0</v>
      </c>
      <c r="AK285" s="322"/>
      <c r="AL285" s="80">
        <f t="shared" si="93"/>
        <v>0</v>
      </c>
      <c r="AM285" s="79">
        <f>127+24+2</f>
        <v>153</v>
      </c>
      <c r="AN285" s="322">
        <v>153</v>
      </c>
      <c r="AO285" s="79">
        <f>2336+274+182</f>
        <v>2792</v>
      </c>
      <c r="AP285" s="322">
        <v>2571</v>
      </c>
      <c r="AQ285" s="79">
        <f>605+161+34</f>
        <v>800</v>
      </c>
      <c r="AR285" s="322">
        <v>1147</v>
      </c>
      <c r="AS285" s="79">
        <f>2393+295+132</f>
        <v>2820</v>
      </c>
      <c r="AT285" s="322">
        <v>3533</v>
      </c>
      <c r="AU285" s="325">
        <f t="shared" si="94"/>
        <v>6565</v>
      </c>
      <c r="AV285" s="90">
        <f t="shared" si="104"/>
        <v>273.54166666666669</v>
      </c>
      <c r="AW285" s="324">
        <f t="shared" si="95"/>
        <v>7404</v>
      </c>
      <c r="AX285" s="80">
        <f t="shared" si="105"/>
        <v>308.5</v>
      </c>
      <c r="AY285" s="326">
        <f t="shared" si="96"/>
        <v>3658.875</v>
      </c>
      <c r="AZ285" s="80">
        <f t="shared" si="97"/>
        <v>3822.3</v>
      </c>
    </row>
    <row r="286" spans="1:52">
      <c r="A286" s="206" t="s">
        <v>200</v>
      </c>
      <c r="B286" s="208" t="s">
        <v>211</v>
      </c>
      <c r="C286" s="228">
        <v>163912</v>
      </c>
      <c r="D286" s="358">
        <v>6</v>
      </c>
      <c r="E286" s="162" t="s">
        <v>442</v>
      </c>
      <c r="F286" s="163" t="s">
        <v>442</v>
      </c>
      <c r="G286" s="79">
        <v>0</v>
      </c>
      <c r="H286" s="322">
        <v>0</v>
      </c>
      <c r="I286" s="79">
        <v>28880</v>
      </c>
      <c r="J286" s="322">
        <v>29724.55</v>
      </c>
      <c r="K286" s="79">
        <v>1094</v>
      </c>
      <c r="L286" s="322">
        <v>1343</v>
      </c>
      <c r="M286" s="79">
        <v>30327</v>
      </c>
      <c r="N286" s="322">
        <v>30866</v>
      </c>
      <c r="O286" s="323">
        <f t="shared" si="88"/>
        <v>60301</v>
      </c>
      <c r="P286" s="638">
        <f t="shared" si="98"/>
        <v>0</v>
      </c>
      <c r="Q286" s="639" t="s">
        <v>949</v>
      </c>
      <c r="R286" s="90">
        <f t="shared" si="102"/>
        <v>2010.0333333333333</v>
      </c>
      <c r="S286" s="324">
        <f t="shared" si="89"/>
        <v>61933.55</v>
      </c>
      <c r="T286" s="638">
        <f t="shared" si="99"/>
        <v>0</v>
      </c>
      <c r="U286" s="639" t="s">
        <v>949</v>
      </c>
      <c r="V286" s="80">
        <f t="shared" si="103"/>
        <v>2064.4516666666668</v>
      </c>
      <c r="W286" s="79"/>
      <c r="X286" s="322"/>
      <c r="Y286" s="79"/>
      <c r="Z286" s="322"/>
      <c r="AA286" s="79"/>
      <c r="AB286" s="322"/>
      <c r="AC286" s="79"/>
      <c r="AD286" s="322"/>
      <c r="AE286" s="323">
        <f t="shared" si="90"/>
        <v>0</v>
      </c>
      <c r="AF286" s="638">
        <f t="shared" si="100"/>
        <v>0</v>
      </c>
      <c r="AG286" s="322"/>
      <c r="AH286" s="90">
        <f t="shared" si="91"/>
        <v>0</v>
      </c>
      <c r="AI286" s="80">
        <f t="shared" si="92"/>
        <v>0</v>
      </c>
      <c r="AJ286" s="638">
        <f t="shared" si="101"/>
        <v>0</v>
      </c>
      <c r="AK286" s="322"/>
      <c r="AL286" s="80">
        <f t="shared" si="93"/>
        <v>0</v>
      </c>
      <c r="AM286" s="79">
        <v>0</v>
      </c>
      <c r="AN286" s="322">
        <v>0</v>
      </c>
      <c r="AO286" s="79">
        <v>120</v>
      </c>
      <c r="AP286" s="322">
        <v>408</v>
      </c>
      <c r="AQ286" s="79">
        <v>125</v>
      </c>
      <c r="AR286" s="322">
        <v>318</v>
      </c>
      <c r="AS286" s="79">
        <v>379</v>
      </c>
      <c r="AT286" s="322">
        <v>556</v>
      </c>
      <c r="AU286" s="325">
        <f t="shared" si="94"/>
        <v>624</v>
      </c>
      <c r="AV286" s="90">
        <f t="shared" si="104"/>
        <v>26</v>
      </c>
      <c r="AW286" s="324">
        <f t="shared" si="95"/>
        <v>1282</v>
      </c>
      <c r="AX286" s="80">
        <f t="shared" si="105"/>
        <v>53.416666666666664</v>
      </c>
      <c r="AY286" s="326">
        <f t="shared" si="96"/>
        <v>2036.0333333333333</v>
      </c>
      <c r="AZ286" s="80">
        <f t="shared" si="97"/>
        <v>2117.8683333333333</v>
      </c>
    </row>
    <row r="287" spans="1:52">
      <c r="A287" s="206" t="s">
        <v>200</v>
      </c>
      <c r="B287" s="208" t="s">
        <v>212</v>
      </c>
      <c r="C287" s="228">
        <v>161767</v>
      </c>
      <c r="D287" s="358">
        <v>8</v>
      </c>
      <c r="E287" s="162" t="s">
        <v>442</v>
      </c>
      <c r="F287" s="163" t="s">
        <v>442</v>
      </c>
      <c r="G287" s="79">
        <v>2337</v>
      </c>
      <c r="H287" s="322">
        <v>2274</v>
      </c>
      <c r="I287" s="79">
        <v>110542</v>
      </c>
      <c r="J287" s="322">
        <v>114635</v>
      </c>
      <c r="K287" s="79">
        <v>27000</v>
      </c>
      <c r="L287" s="322">
        <v>27894</v>
      </c>
      <c r="M287" s="79">
        <v>127590</v>
      </c>
      <c r="N287" s="322">
        <v>131297</v>
      </c>
      <c r="O287" s="323">
        <f t="shared" si="88"/>
        <v>267469</v>
      </c>
      <c r="P287" s="638">
        <f t="shared" si="98"/>
        <v>0</v>
      </c>
      <c r="Q287" s="639" t="s">
        <v>949</v>
      </c>
      <c r="R287" s="90">
        <f t="shared" si="102"/>
        <v>8915.6333333333332</v>
      </c>
      <c r="S287" s="324">
        <f t="shared" si="89"/>
        <v>276100</v>
      </c>
      <c r="T287" s="638">
        <f t="shared" si="99"/>
        <v>0</v>
      </c>
      <c r="U287" s="639" t="s">
        <v>949</v>
      </c>
      <c r="V287" s="80">
        <f t="shared" si="103"/>
        <v>9203.3333333333339</v>
      </c>
      <c r="W287" s="79"/>
      <c r="X287" s="322"/>
      <c r="Y287" s="79"/>
      <c r="Z287" s="322"/>
      <c r="AA287" s="79"/>
      <c r="AB287" s="322"/>
      <c r="AC287" s="79"/>
      <c r="AD287" s="322"/>
      <c r="AE287" s="323">
        <f t="shared" si="90"/>
        <v>0</v>
      </c>
      <c r="AF287" s="638">
        <f t="shared" si="100"/>
        <v>0</v>
      </c>
      <c r="AG287" s="322"/>
      <c r="AH287" s="90">
        <f t="shared" si="91"/>
        <v>0</v>
      </c>
      <c r="AI287" s="80">
        <f t="shared" si="92"/>
        <v>0</v>
      </c>
      <c r="AJ287" s="638">
        <f t="shared" si="101"/>
        <v>0</v>
      </c>
      <c r="AK287" s="322"/>
      <c r="AL287" s="80">
        <f t="shared" si="93"/>
        <v>0</v>
      </c>
      <c r="AM287" s="79">
        <v>0</v>
      </c>
      <c r="AN287" s="322"/>
      <c r="AO287" s="79">
        <v>0</v>
      </c>
      <c r="AP287" s="322"/>
      <c r="AQ287" s="79">
        <v>0</v>
      </c>
      <c r="AR287" s="322"/>
      <c r="AS287" s="79">
        <v>0</v>
      </c>
      <c r="AT287" s="322"/>
      <c r="AU287" s="325">
        <f t="shared" si="94"/>
        <v>0</v>
      </c>
      <c r="AV287" s="90">
        <f t="shared" si="104"/>
        <v>0</v>
      </c>
      <c r="AW287" s="324">
        <f t="shared" si="95"/>
        <v>0</v>
      </c>
      <c r="AX287" s="80">
        <f t="shared" si="105"/>
        <v>0</v>
      </c>
      <c r="AY287" s="326">
        <f t="shared" si="96"/>
        <v>8915.6333333333332</v>
      </c>
      <c r="AZ287" s="80">
        <f t="shared" si="97"/>
        <v>9203.3333333333339</v>
      </c>
    </row>
    <row r="288" spans="1:52">
      <c r="A288" s="206" t="s">
        <v>200</v>
      </c>
      <c r="B288" s="208" t="s">
        <v>213</v>
      </c>
      <c r="C288" s="227">
        <v>434672</v>
      </c>
      <c r="D288" s="209">
        <v>8</v>
      </c>
      <c r="E288" s="162" t="s">
        <v>442</v>
      </c>
      <c r="F288" s="163" t="s">
        <v>442</v>
      </c>
      <c r="G288" s="79">
        <v>6330</v>
      </c>
      <c r="H288" s="362">
        <v>7204.5</v>
      </c>
      <c r="I288" s="79">
        <v>151955</v>
      </c>
      <c r="J288" s="362">
        <v>151390.5</v>
      </c>
      <c r="K288" s="79">
        <v>28856</v>
      </c>
      <c r="L288" s="322">
        <v>37577</v>
      </c>
      <c r="M288" s="79">
        <v>160050</v>
      </c>
      <c r="N288" s="362">
        <v>174835.5</v>
      </c>
      <c r="O288" s="323">
        <f t="shared" si="88"/>
        <v>347191</v>
      </c>
      <c r="P288" s="638">
        <f t="shared" si="98"/>
        <v>0</v>
      </c>
      <c r="Q288" s="639" t="s">
        <v>949</v>
      </c>
      <c r="R288" s="90">
        <f t="shared" si="102"/>
        <v>11573.033333333333</v>
      </c>
      <c r="S288" s="324">
        <f t="shared" si="89"/>
        <v>371007.5</v>
      </c>
      <c r="T288" s="638">
        <f t="shared" si="99"/>
        <v>0</v>
      </c>
      <c r="U288" s="639" t="s">
        <v>949</v>
      </c>
      <c r="V288" s="80">
        <f t="shared" si="103"/>
        <v>12366.916666666666</v>
      </c>
      <c r="W288" s="79"/>
      <c r="X288" s="322"/>
      <c r="Y288" s="79"/>
      <c r="Z288" s="322"/>
      <c r="AA288" s="79"/>
      <c r="AB288" s="322"/>
      <c r="AC288" s="79"/>
      <c r="AD288" s="322"/>
      <c r="AE288" s="323">
        <f t="shared" si="90"/>
        <v>0</v>
      </c>
      <c r="AF288" s="638">
        <f t="shared" si="100"/>
        <v>0</v>
      </c>
      <c r="AG288" s="322"/>
      <c r="AH288" s="90">
        <f t="shared" si="91"/>
        <v>0</v>
      </c>
      <c r="AI288" s="80">
        <f t="shared" si="92"/>
        <v>0</v>
      </c>
      <c r="AJ288" s="638">
        <f t="shared" si="101"/>
        <v>0</v>
      </c>
      <c r="AK288" s="322"/>
      <c r="AL288" s="80">
        <f t="shared" si="93"/>
        <v>0</v>
      </c>
      <c r="AM288" s="79">
        <v>0</v>
      </c>
      <c r="AN288" s="322"/>
      <c r="AO288" s="79">
        <v>0</v>
      </c>
      <c r="AP288" s="322"/>
      <c r="AQ288" s="79">
        <v>0</v>
      </c>
      <c r="AR288" s="322"/>
      <c r="AS288" s="79">
        <v>0</v>
      </c>
      <c r="AT288" s="322"/>
      <c r="AU288" s="325">
        <f t="shared" si="94"/>
        <v>0</v>
      </c>
      <c r="AV288" s="90">
        <f t="shared" si="104"/>
        <v>0</v>
      </c>
      <c r="AW288" s="324">
        <f t="shared" si="95"/>
        <v>0</v>
      </c>
      <c r="AX288" s="80">
        <f t="shared" si="105"/>
        <v>0</v>
      </c>
      <c r="AY288" s="326">
        <f t="shared" si="96"/>
        <v>11573.033333333333</v>
      </c>
      <c r="AZ288" s="80">
        <f t="shared" si="97"/>
        <v>12366.916666666666</v>
      </c>
    </row>
    <row r="289" spans="1:52">
      <c r="A289" s="206" t="s">
        <v>200</v>
      </c>
      <c r="B289" s="208" t="s">
        <v>936</v>
      </c>
      <c r="C289" s="227">
        <v>163426</v>
      </c>
      <c r="D289" s="209">
        <v>8</v>
      </c>
      <c r="E289" s="162" t="s">
        <v>442</v>
      </c>
      <c r="F289" s="163" t="s">
        <v>442</v>
      </c>
      <c r="G289" s="79">
        <v>0</v>
      </c>
      <c r="H289" s="322">
        <v>2379</v>
      </c>
      <c r="I289" s="79">
        <v>166738</v>
      </c>
      <c r="J289" s="322">
        <v>233700</v>
      </c>
      <c r="K289" s="79">
        <v>48120</v>
      </c>
      <c r="L289" s="322">
        <v>78456</v>
      </c>
      <c r="M289" s="79">
        <v>184683</v>
      </c>
      <c r="N289" s="322">
        <v>255761</v>
      </c>
      <c r="O289" s="323">
        <f t="shared" si="88"/>
        <v>399541</v>
      </c>
      <c r="P289" s="638">
        <f t="shared" si="98"/>
        <v>0</v>
      </c>
      <c r="Q289" s="639" t="s">
        <v>949</v>
      </c>
      <c r="R289" s="90">
        <f t="shared" si="102"/>
        <v>13318.033333333333</v>
      </c>
      <c r="S289" s="324">
        <f t="shared" si="89"/>
        <v>570296</v>
      </c>
      <c r="T289" s="638">
        <f t="shared" si="99"/>
        <v>0</v>
      </c>
      <c r="U289" s="639" t="s">
        <v>949</v>
      </c>
      <c r="V289" s="80">
        <f t="shared" si="103"/>
        <v>19009.866666666665</v>
      </c>
      <c r="W289" s="79"/>
      <c r="X289" s="322"/>
      <c r="Y289" s="79"/>
      <c r="Z289" s="322"/>
      <c r="AA289" s="79"/>
      <c r="AB289" s="322"/>
      <c r="AC289" s="79"/>
      <c r="AD289" s="322"/>
      <c r="AE289" s="323">
        <f t="shared" si="90"/>
        <v>0</v>
      </c>
      <c r="AF289" s="638">
        <f t="shared" si="100"/>
        <v>0</v>
      </c>
      <c r="AG289" s="322"/>
      <c r="AH289" s="90">
        <f t="shared" si="91"/>
        <v>0</v>
      </c>
      <c r="AI289" s="80">
        <f t="shared" si="92"/>
        <v>0</v>
      </c>
      <c r="AJ289" s="638">
        <f t="shared" si="101"/>
        <v>0</v>
      </c>
      <c r="AK289" s="322"/>
      <c r="AL289" s="80">
        <f t="shared" si="93"/>
        <v>0</v>
      </c>
      <c r="AM289" s="79">
        <v>0</v>
      </c>
      <c r="AN289" s="322"/>
      <c r="AO289" s="79">
        <v>0</v>
      </c>
      <c r="AP289" s="322"/>
      <c r="AQ289" s="79">
        <v>0</v>
      </c>
      <c r="AR289" s="322"/>
      <c r="AS289" s="79">
        <v>0</v>
      </c>
      <c r="AT289" s="322"/>
      <c r="AU289" s="325">
        <f t="shared" si="94"/>
        <v>0</v>
      </c>
      <c r="AV289" s="90">
        <f t="shared" si="104"/>
        <v>0</v>
      </c>
      <c r="AW289" s="324">
        <f t="shared" si="95"/>
        <v>0</v>
      </c>
      <c r="AX289" s="80">
        <f t="shared" si="105"/>
        <v>0</v>
      </c>
      <c r="AY289" s="326">
        <f t="shared" si="96"/>
        <v>13318.033333333333</v>
      </c>
      <c r="AZ289" s="80">
        <f t="shared" si="97"/>
        <v>19009.866666666665</v>
      </c>
    </row>
    <row r="290" spans="1:52">
      <c r="A290" s="206" t="s">
        <v>200</v>
      </c>
      <c r="B290" s="208" t="s">
        <v>214</v>
      </c>
      <c r="C290" s="228">
        <v>163657</v>
      </c>
      <c r="D290" s="358">
        <v>8</v>
      </c>
      <c r="E290" s="162" t="s">
        <v>442</v>
      </c>
      <c r="F290" s="163" t="s">
        <v>442</v>
      </c>
      <c r="G290" s="79">
        <v>0</v>
      </c>
      <c r="H290" s="322">
        <v>0</v>
      </c>
      <c r="I290" s="79">
        <v>90527</v>
      </c>
      <c r="J290" s="322">
        <v>90676</v>
      </c>
      <c r="K290" s="79">
        <v>24754</v>
      </c>
      <c r="L290" s="322">
        <v>24846</v>
      </c>
      <c r="M290" s="79">
        <v>95192</v>
      </c>
      <c r="N290" s="322">
        <v>95960</v>
      </c>
      <c r="O290" s="323">
        <f t="shared" si="88"/>
        <v>210473</v>
      </c>
      <c r="P290" s="638">
        <f t="shared" si="98"/>
        <v>0</v>
      </c>
      <c r="Q290" s="639" t="s">
        <v>949</v>
      </c>
      <c r="R290" s="90">
        <f t="shared" si="102"/>
        <v>7015.7666666666664</v>
      </c>
      <c r="S290" s="324">
        <f t="shared" si="89"/>
        <v>211482</v>
      </c>
      <c r="T290" s="638">
        <f t="shared" si="99"/>
        <v>0</v>
      </c>
      <c r="U290" s="639" t="s">
        <v>949</v>
      </c>
      <c r="V290" s="80">
        <f t="shared" si="103"/>
        <v>7049.4</v>
      </c>
      <c r="W290" s="79"/>
      <c r="X290" s="322"/>
      <c r="Y290" s="79"/>
      <c r="Z290" s="322"/>
      <c r="AA290" s="79"/>
      <c r="AB290" s="322"/>
      <c r="AC290" s="79"/>
      <c r="AD290" s="322"/>
      <c r="AE290" s="323">
        <f t="shared" si="90"/>
        <v>0</v>
      </c>
      <c r="AF290" s="638">
        <f t="shared" si="100"/>
        <v>0</v>
      </c>
      <c r="AG290" s="322"/>
      <c r="AH290" s="90">
        <f t="shared" si="91"/>
        <v>0</v>
      </c>
      <c r="AI290" s="80">
        <f t="shared" si="92"/>
        <v>0</v>
      </c>
      <c r="AJ290" s="638">
        <f t="shared" si="101"/>
        <v>0</v>
      </c>
      <c r="AK290" s="322"/>
      <c r="AL290" s="80">
        <f t="shared" si="93"/>
        <v>0</v>
      </c>
      <c r="AM290" s="79">
        <v>0</v>
      </c>
      <c r="AN290" s="322"/>
      <c r="AO290" s="79">
        <v>0</v>
      </c>
      <c r="AP290" s="322"/>
      <c r="AQ290" s="79">
        <v>0</v>
      </c>
      <c r="AR290" s="322"/>
      <c r="AS290" s="79">
        <v>0</v>
      </c>
      <c r="AT290" s="322"/>
      <c r="AU290" s="325">
        <f t="shared" si="94"/>
        <v>0</v>
      </c>
      <c r="AV290" s="90">
        <f t="shared" si="104"/>
        <v>0</v>
      </c>
      <c r="AW290" s="324">
        <f t="shared" si="95"/>
        <v>0</v>
      </c>
      <c r="AX290" s="80">
        <f t="shared" si="105"/>
        <v>0</v>
      </c>
      <c r="AY290" s="326">
        <f t="shared" si="96"/>
        <v>7015.7666666666664</v>
      </c>
      <c r="AZ290" s="80">
        <f t="shared" si="97"/>
        <v>7049.4</v>
      </c>
    </row>
    <row r="291" spans="1:52">
      <c r="A291" s="206" t="s">
        <v>200</v>
      </c>
      <c r="B291" s="208" t="s">
        <v>220</v>
      </c>
      <c r="C291" s="227">
        <v>161688</v>
      </c>
      <c r="D291" s="209">
        <v>9</v>
      </c>
      <c r="E291" s="162" t="s">
        <v>442</v>
      </c>
      <c r="F291" s="163" t="s">
        <v>442</v>
      </c>
      <c r="G291" s="79">
        <v>0</v>
      </c>
      <c r="H291" s="322">
        <v>0</v>
      </c>
      <c r="I291" s="79">
        <v>31628</v>
      </c>
      <c r="J291" s="322">
        <v>32391</v>
      </c>
      <c r="K291" s="79">
        <v>3965</v>
      </c>
      <c r="L291" s="322">
        <v>3957</v>
      </c>
      <c r="M291" s="79">
        <v>36148</v>
      </c>
      <c r="N291" s="322">
        <v>37755</v>
      </c>
      <c r="O291" s="323">
        <f t="shared" si="88"/>
        <v>71741</v>
      </c>
      <c r="P291" s="638">
        <f t="shared" si="98"/>
        <v>0</v>
      </c>
      <c r="Q291" s="639" t="s">
        <v>949</v>
      </c>
      <c r="R291" s="90">
        <f t="shared" si="102"/>
        <v>2391.3666666666668</v>
      </c>
      <c r="S291" s="324">
        <f t="shared" si="89"/>
        <v>74103</v>
      </c>
      <c r="T291" s="638">
        <f t="shared" si="99"/>
        <v>0</v>
      </c>
      <c r="U291" s="639" t="s">
        <v>949</v>
      </c>
      <c r="V291" s="80">
        <f t="shared" si="103"/>
        <v>2470.1</v>
      </c>
      <c r="W291" s="79"/>
      <c r="X291" s="322"/>
      <c r="Y291" s="79"/>
      <c r="Z291" s="322"/>
      <c r="AA291" s="79"/>
      <c r="AB291" s="322"/>
      <c r="AC291" s="79"/>
      <c r="AD291" s="322"/>
      <c r="AE291" s="323">
        <f t="shared" si="90"/>
        <v>0</v>
      </c>
      <c r="AF291" s="638">
        <f t="shared" si="100"/>
        <v>0</v>
      </c>
      <c r="AG291" s="322"/>
      <c r="AH291" s="90">
        <f t="shared" si="91"/>
        <v>0</v>
      </c>
      <c r="AI291" s="80">
        <f t="shared" si="92"/>
        <v>0</v>
      </c>
      <c r="AJ291" s="638">
        <f t="shared" si="101"/>
        <v>0</v>
      </c>
      <c r="AK291" s="322"/>
      <c r="AL291" s="80">
        <f t="shared" si="93"/>
        <v>0</v>
      </c>
      <c r="AM291" s="79">
        <v>0</v>
      </c>
      <c r="AN291" s="322"/>
      <c r="AO291" s="79">
        <v>0</v>
      </c>
      <c r="AP291" s="322"/>
      <c r="AQ291" s="79">
        <v>0</v>
      </c>
      <c r="AR291" s="322"/>
      <c r="AS291" s="79">
        <v>0</v>
      </c>
      <c r="AT291" s="322"/>
      <c r="AU291" s="325">
        <f t="shared" si="94"/>
        <v>0</v>
      </c>
      <c r="AV291" s="90">
        <f t="shared" si="104"/>
        <v>0</v>
      </c>
      <c r="AW291" s="324">
        <f t="shared" si="95"/>
        <v>0</v>
      </c>
      <c r="AX291" s="80">
        <f t="shared" si="105"/>
        <v>0</v>
      </c>
      <c r="AY291" s="326">
        <f t="shared" si="96"/>
        <v>2391.3666666666668</v>
      </c>
      <c r="AZ291" s="80">
        <f t="shared" si="97"/>
        <v>2470.1</v>
      </c>
    </row>
    <row r="292" spans="1:52">
      <c r="A292" s="206" t="s">
        <v>200</v>
      </c>
      <c r="B292" s="208" t="s">
        <v>215</v>
      </c>
      <c r="C292" s="228">
        <v>161864</v>
      </c>
      <c r="D292" s="358">
        <v>9</v>
      </c>
      <c r="E292" s="162" t="s">
        <v>442</v>
      </c>
      <c r="F292" s="163" t="s">
        <v>442</v>
      </c>
      <c r="G292" s="79">
        <v>1261</v>
      </c>
      <c r="H292" s="322">
        <v>1969</v>
      </c>
      <c r="I292" s="79">
        <v>63468</v>
      </c>
      <c r="J292" s="322">
        <v>63348</v>
      </c>
      <c r="K292" s="79">
        <v>11604</v>
      </c>
      <c r="L292" s="322">
        <v>13124</v>
      </c>
      <c r="M292" s="79">
        <v>63452</v>
      </c>
      <c r="N292" s="322">
        <v>67594</v>
      </c>
      <c r="O292" s="323">
        <f t="shared" si="88"/>
        <v>139785</v>
      </c>
      <c r="P292" s="638">
        <f t="shared" si="98"/>
        <v>0</v>
      </c>
      <c r="Q292" s="639" t="s">
        <v>949</v>
      </c>
      <c r="R292" s="90">
        <f t="shared" si="102"/>
        <v>4659.5</v>
      </c>
      <c r="S292" s="324">
        <f t="shared" si="89"/>
        <v>146035</v>
      </c>
      <c r="T292" s="638">
        <f t="shared" si="99"/>
        <v>0</v>
      </c>
      <c r="U292" s="639" t="s">
        <v>949</v>
      </c>
      <c r="V292" s="80">
        <f t="shared" si="103"/>
        <v>4867.833333333333</v>
      </c>
      <c r="W292" s="79"/>
      <c r="X292" s="322"/>
      <c r="Y292" s="79"/>
      <c r="Z292" s="322"/>
      <c r="AA292" s="79"/>
      <c r="AB292" s="322"/>
      <c r="AC292" s="79"/>
      <c r="AD292" s="322"/>
      <c r="AE292" s="323">
        <f t="shared" si="90"/>
        <v>0</v>
      </c>
      <c r="AF292" s="638">
        <f t="shared" si="100"/>
        <v>0</v>
      </c>
      <c r="AG292" s="322"/>
      <c r="AH292" s="90">
        <f t="shared" si="91"/>
        <v>0</v>
      </c>
      <c r="AI292" s="80">
        <f t="shared" si="92"/>
        <v>0</v>
      </c>
      <c r="AJ292" s="638">
        <f t="shared" si="101"/>
        <v>0</v>
      </c>
      <c r="AK292" s="322"/>
      <c r="AL292" s="80">
        <f t="shared" si="93"/>
        <v>0</v>
      </c>
      <c r="AM292" s="79">
        <v>0</v>
      </c>
      <c r="AN292" s="322"/>
      <c r="AO292" s="79">
        <v>0</v>
      </c>
      <c r="AP292" s="322"/>
      <c r="AQ292" s="79">
        <v>0</v>
      </c>
      <c r="AR292" s="322"/>
      <c r="AS292" s="79">
        <v>0</v>
      </c>
      <c r="AT292" s="322"/>
      <c r="AU292" s="325">
        <f t="shared" si="94"/>
        <v>0</v>
      </c>
      <c r="AV292" s="90">
        <f t="shared" si="104"/>
        <v>0</v>
      </c>
      <c r="AW292" s="324">
        <f t="shared" si="95"/>
        <v>0</v>
      </c>
      <c r="AX292" s="80">
        <f t="shared" si="105"/>
        <v>0</v>
      </c>
      <c r="AY292" s="326">
        <f t="shared" si="96"/>
        <v>4659.5</v>
      </c>
      <c r="AZ292" s="80">
        <f t="shared" si="97"/>
        <v>4867.833333333333</v>
      </c>
    </row>
    <row r="293" spans="1:52">
      <c r="A293" s="206" t="s">
        <v>200</v>
      </c>
      <c r="B293" s="208" t="s">
        <v>216</v>
      </c>
      <c r="C293" s="228">
        <v>162122</v>
      </c>
      <c r="D293" s="358">
        <v>9</v>
      </c>
      <c r="E293" s="162" t="s">
        <v>442</v>
      </c>
      <c r="F293" s="163" t="s">
        <v>442</v>
      </c>
      <c r="G293" s="79">
        <v>939</v>
      </c>
      <c r="H293" s="322">
        <v>966</v>
      </c>
      <c r="I293" s="79">
        <v>53685</v>
      </c>
      <c r="J293" s="322">
        <v>58370</v>
      </c>
      <c r="K293" s="79">
        <v>10800</v>
      </c>
      <c r="L293" s="322">
        <v>11624</v>
      </c>
      <c r="M293" s="79">
        <v>66733</v>
      </c>
      <c r="N293" s="322">
        <v>71463</v>
      </c>
      <c r="O293" s="323">
        <f t="shared" si="88"/>
        <v>132157</v>
      </c>
      <c r="P293" s="638">
        <f t="shared" si="98"/>
        <v>0</v>
      </c>
      <c r="Q293" s="639" t="s">
        <v>949</v>
      </c>
      <c r="R293" s="90">
        <f t="shared" si="102"/>
        <v>4405.2333333333336</v>
      </c>
      <c r="S293" s="324">
        <f t="shared" si="89"/>
        <v>142423</v>
      </c>
      <c r="T293" s="638">
        <f t="shared" si="99"/>
        <v>0</v>
      </c>
      <c r="U293" s="639" t="s">
        <v>949</v>
      </c>
      <c r="V293" s="80">
        <f t="shared" si="103"/>
        <v>4747.4333333333334</v>
      </c>
      <c r="W293" s="79"/>
      <c r="X293" s="322"/>
      <c r="Y293" s="79"/>
      <c r="Z293" s="322"/>
      <c r="AA293" s="79"/>
      <c r="AB293" s="322"/>
      <c r="AC293" s="79"/>
      <c r="AD293" s="322"/>
      <c r="AE293" s="323">
        <f t="shared" si="90"/>
        <v>0</v>
      </c>
      <c r="AF293" s="638">
        <f t="shared" si="100"/>
        <v>0</v>
      </c>
      <c r="AG293" s="322"/>
      <c r="AH293" s="90">
        <f t="shared" si="91"/>
        <v>0</v>
      </c>
      <c r="AI293" s="80">
        <f t="shared" si="92"/>
        <v>0</v>
      </c>
      <c r="AJ293" s="638">
        <f t="shared" si="101"/>
        <v>0</v>
      </c>
      <c r="AK293" s="322"/>
      <c r="AL293" s="80">
        <f t="shared" si="93"/>
        <v>0</v>
      </c>
      <c r="AM293" s="79">
        <v>0</v>
      </c>
      <c r="AN293" s="322"/>
      <c r="AO293" s="79">
        <v>0</v>
      </c>
      <c r="AP293" s="322"/>
      <c r="AQ293" s="79">
        <v>0</v>
      </c>
      <c r="AR293" s="322"/>
      <c r="AS293" s="79">
        <v>0</v>
      </c>
      <c r="AT293" s="322"/>
      <c r="AU293" s="325">
        <f t="shared" si="94"/>
        <v>0</v>
      </c>
      <c r="AV293" s="90">
        <f t="shared" si="104"/>
        <v>0</v>
      </c>
      <c r="AW293" s="324">
        <f t="shared" si="95"/>
        <v>0</v>
      </c>
      <c r="AX293" s="80">
        <f t="shared" si="105"/>
        <v>0</v>
      </c>
      <c r="AY293" s="326">
        <f t="shared" si="96"/>
        <v>4405.2333333333336</v>
      </c>
      <c r="AZ293" s="80">
        <f t="shared" si="97"/>
        <v>4747.4333333333334</v>
      </c>
    </row>
    <row r="294" spans="1:52">
      <c r="A294" s="206" t="s">
        <v>200</v>
      </c>
      <c r="B294" s="208" t="s">
        <v>217</v>
      </c>
      <c r="C294" s="228">
        <v>162557</v>
      </c>
      <c r="D294" s="358">
        <v>9</v>
      </c>
      <c r="E294" s="162" t="s">
        <v>442</v>
      </c>
      <c r="F294" s="163" t="s">
        <v>442</v>
      </c>
      <c r="G294" s="79">
        <v>1856</v>
      </c>
      <c r="H294" s="322">
        <v>1873</v>
      </c>
      <c r="I294" s="79">
        <v>39317</v>
      </c>
      <c r="J294" s="322">
        <v>43091</v>
      </c>
      <c r="K294" s="79">
        <v>11977</v>
      </c>
      <c r="L294" s="322">
        <v>9320</v>
      </c>
      <c r="M294" s="79">
        <v>40629</v>
      </c>
      <c r="N294" s="322">
        <v>43334</v>
      </c>
      <c r="O294" s="323">
        <f t="shared" si="88"/>
        <v>93779</v>
      </c>
      <c r="P294" s="638">
        <f t="shared" si="98"/>
        <v>0</v>
      </c>
      <c r="Q294" s="639" t="s">
        <v>949</v>
      </c>
      <c r="R294" s="90">
        <f t="shared" si="102"/>
        <v>3125.9666666666667</v>
      </c>
      <c r="S294" s="324">
        <f t="shared" si="89"/>
        <v>97618</v>
      </c>
      <c r="T294" s="638">
        <f t="shared" si="99"/>
        <v>0</v>
      </c>
      <c r="U294" s="639" t="s">
        <v>949</v>
      </c>
      <c r="V294" s="80">
        <f t="shared" si="103"/>
        <v>3253.9333333333334</v>
      </c>
      <c r="W294" s="79"/>
      <c r="X294" s="322"/>
      <c r="Y294" s="79"/>
      <c r="Z294" s="322"/>
      <c r="AA294" s="79"/>
      <c r="AB294" s="322"/>
      <c r="AC294" s="79"/>
      <c r="AD294" s="322"/>
      <c r="AE294" s="323">
        <f t="shared" si="90"/>
        <v>0</v>
      </c>
      <c r="AF294" s="638">
        <f t="shared" si="100"/>
        <v>0</v>
      </c>
      <c r="AG294" s="322"/>
      <c r="AH294" s="90">
        <f t="shared" si="91"/>
        <v>0</v>
      </c>
      <c r="AI294" s="80">
        <f t="shared" si="92"/>
        <v>0</v>
      </c>
      <c r="AJ294" s="638">
        <f t="shared" si="101"/>
        <v>0</v>
      </c>
      <c r="AK294" s="322"/>
      <c r="AL294" s="80">
        <f t="shared" si="93"/>
        <v>0</v>
      </c>
      <c r="AM294" s="79">
        <v>0</v>
      </c>
      <c r="AN294" s="322"/>
      <c r="AO294" s="79">
        <v>0</v>
      </c>
      <c r="AP294" s="322"/>
      <c r="AQ294" s="79">
        <v>0</v>
      </c>
      <c r="AR294" s="322"/>
      <c r="AS294" s="79">
        <v>0</v>
      </c>
      <c r="AT294" s="322"/>
      <c r="AU294" s="325">
        <f t="shared" si="94"/>
        <v>0</v>
      </c>
      <c r="AV294" s="90">
        <f t="shared" si="104"/>
        <v>0</v>
      </c>
      <c r="AW294" s="324">
        <f t="shared" si="95"/>
        <v>0</v>
      </c>
      <c r="AX294" s="80">
        <f t="shared" si="105"/>
        <v>0</v>
      </c>
      <c r="AY294" s="326">
        <f t="shared" si="96"/>
        <v>3125.9666666666667</v>
      </c>
      <c r="AZ294" s="80">
        <f t="shared" si="97"/>
        <v>3253.9333333333334</v>
      </c>
    </row>
    <row r="295" spans="1:52">
      <c r="A295" s="206" t="s">
        <v>200</v>
      </c>
      <c r="B295" s="208" t="s">
        <v>225</v>
      </c>
      <c r="C295" s="227">
        <v>162690</v>
      </c>
      <c r="D295" s="209">
        <v>9</v>
      </c>
      <c r="E295" s="162" t="s">
        <v>442</v>
      </c>
      <c r="F295" s="163" t="s">
        <v>442</v>
      </c>
      <c r="G295" s="79">
        <v>0</v>
      </c>
      <c r="H295" s="322">
        <v>0</v>
      </c>
      <c r="I295" s="79">
        <v>29540</v>
      </c>
      <c r="J295" s="322">
        <v>31106</v>
      </c>
      <c r="K295" s="79">
        <v>7282</v>
      </c>
      <c r="L295" s="322">
        <v>8077</v>
      </c>
      <c r="M295" s="79">
        <v>33114</v>
      </c>
      <c r="N295" s="322">
        <v>35963</v>
      </c>
      <c r="O295" s="323">
        <f t="shared" si="88"/>
        <v>69936</v>
      </c>
      <c r="P295" s="638">
        <f t="shared" si="98"/>
        <v>0</v>
      </c>
      <c r="Q295" s="639" t="s">
        <v>949</v>
      </c>
      <c r="R295" s="90">
        <f t="shared" si="102"/>
        <v>2331.1999999999998</v>
      </c>
      <c r="S295" s="324">
        <f t="shared" si="89"/>
        <v>75146</v>
      </c>
      <c r="T295" s="638">
        <f t="shared" si="99"/>
        <v>0</v>
      </c>
      <c r="U295" s="639" t="s">
        <v>949</v>
      </c>
      <c r="V295" s="80">
        <f t="shared" si="103"/>
        <v>2504.8666666666668</v>
      </c>
      <c r="W295" s="79"/>
      <c r="X295" s="322"/>
      <c r="Y295" s="79"/>
      <c r="Z295" s="322"/>
      <c r="AA295" s="79"/>
      <c r="AB295" s="322"/>
      <c r="AC295" s="79"/>
      <c r="AD295" s="322"/>
      <c r="AE295" s="323">
        <f t="shared" si="90"/>
        <v>0</v>
      </c>
      <c r="AF295" s="638">
        <f t="shared" si="100"/>
        <v>0</v>
      </c>
      <c r="AG295" s="322"/>
      <c r="AH295" s="90">
        <f t="shared" si="91"/>
        <v>0</v>
      </c>
      <c r="AI295" s="80">
        <f t="shared" si="92"/>
        <v>0</v>
      </c>
      <c r="AJ295" s="638">
        <f t="shared" si="101"/>
        <v>0</v>
      </c>
      <c r="AK295" s="322"/>
      <c r="AL295" s="80">
        <f t="shared" si="93"/>
        <v>0</v>
      </c>
      <c r="AM295" s="79">
        <v>0</v>
      </c>
      <c r="AN295" s="322"/>
      <c r="AO295" s="79">
        <v>0</v>
      </c>
      <c r="AP295" s="322"/>
      <c r="AQ295" s="79">
        <v>0</v>
      </c>
      <c r="AR295" s="322"/>
      <c r="AS295" s="79">
        <v>0</v>
      </c>
      <c r="AT295" s="322"/>
      <c r="AU295" s="325">
        <f t="shared" si="94"/>
        <v>0</v>
      </c>
      <c r="AV295" s="90">
        <f t="shared" si="104"/>
        <v>0</v>
      </c>
      <c r="AW295" s="324">
        <f t="shared" si="95"/>
        <v>0</v>
      </c>
      <c r="AX295" s="80">
        <f t="shared" si="105"/>
        <v>0</v>
      </c>
      <c r="AY295" s="326">
        <f t="shared" si="96"/>
        <v>2331.1999999999998</v>
      </c>
      <c r="AZ295" s="80">
        <f t="shared" si="97"/>
        <v>2504.8666666666668</v>
      </c>
    </row>
    <row r="296" spans="1:52">
      <c r="A296" s="206" t="s">
        <v>200</v>
      </c>
      <c r="B296" s="208" t="s">
        <v>218</v>
      </c>
      <c r="C296" s="227">
        <v>162706</v>
      </c>
      <c r="D296" s="209">
        <v>9</v>
      </c>
      <c r="E296" s="162" t="s">
        <v>442</v>
      </c>
      <c r="F296" s="163" t="s">
        <v>442</v>
      </c>
      <c r="G296" s="79">
        <v>0</v>
      </c>
      <c r="H296" s="322">
        <v>0</v>
      </c>
      <c r="I296" s="79">
        <v>44698</v>
      </c>
      <c r="J296" s="322">
        <v>47134</v>
      </c>
      <c r="K296" s="79">
        <v>8669</v>
      </c>
      <c r="L296" s="322">
        <v>9359</v>
      </c>
      <c r="M296" s="79">
        <v>53393</v>
      </c>
      <c r="N296" s="322">
        <v>61178</v>
      </c>
      <c r="O296" s="323">
        <f t="shared" si="88"/>
        <v>106760</v>
      </c>
      <c r="P296" s="638">
        <f t="shared" si="98"/>
        <v>0</v>
      </c>
      <c r="Q296" s="639" t="s">
        <v>949</v>
      </c>
      <c r="R296" s="90">
        <f t="shared" si="102"/>
        <v>3558.6666666666665</v>
      </c>
      <c r="S296" s="324">
        <f t="shared" si="89"/>
        <v>117671</v>
      </c>
      <c r="T296" s="638">
        <f t="shared" si="99"/>
        <v>0</v>
      </c>
      <c r="U296" s="639" t="s">
        <v>949</v>
      </c>
      <c r="V296" s="80">
        <f t="shared" si="103"/>
        <v>3922.3666666666668</v>
      </c>
      <c r="W296" s="79"/>
      <c r="X296" s="322"/>
      <c r="Y296" s="79"/>
      <c r="Z296" s="322"/>
      <c r="AA296" s="79"/>
      <c r="AB296" s="322"/>
      <c r="AC296" s="79"/>
      <c r="AD296" s="322"/>
      <c r="AE296" s="323">
        <f t="shared" si="90"/>
        <v>0</v>
      </c>
      <c r="AF296" s="638">
        <f t="shared" si="100"/>
        <v>0</v>
      </c>
      <c r="AG296" s="322"/>
      <c r="AH296" s="90">
        <f t="shared" si="91"/>
        <v>0</v>
      </c>
      <c r="AI296" s="80">
        <f t="shared" si="92"/>
        <v>0</v>
      </c>
      <c r="AJ296" s="638">
        <f t="shared" si="101"/>
        <v>0</v>
      </c>
      <c r="AK296" s="322"/>
      <c r="AL296" s="80">
        <f t="shared" si="93"/>
        <v>0</v>
      </c>
      <c r="AM296" s="79">
        <v>0</v>
      </c>
      <c r="AN296" s="322"/>
      <c r="AO296" s="79">
        <v>0</v>
      </c>
      <c r="AP296" s="322"/>
      <c r="AQ296" s="79">
        <v>0</v>
      </c>
      <c r="AR296" s="322"/>
      <c r="AS296" s="79">
        <v>0</v>
      </c>
      <c r="AT296" s="322"/>
      <c r="AU296" s="325">
        <f t="shared" si="94"/>
        <v>0</v>
      </c>
      <c r="AV296" s="90">
        <f t="shared" si="104"/>
        <v>0</v>
      </c>
      <c r="AW296" s="324">
        <f t="shared" si="95"/>
        <v>0</v>
      </c>
      <c r="AX296" s="80">
        <f t="shared" si="105"/>
        <v>0</v>
      </c>
      <c r="AY296" s="326">
        <f t="shared" si="96"/>
        <v>3558.6666666666665</v>
      </c>
      <c r="AZ296" s="80">
        <f t="shared" si="97"/>
        <v>3922.3666666666668</v>
      </c>
    </row>
    <row r="297" spans="1:52">
      <c r="A297" s="206" t="s">
        <v>200</v>
      </c>
      <c r="B297" s="208" t="s">
        <v>219</v>
      </c>
      <c r="C297" s="227">
        <v>162779</v>
      </c>
      <c r="D297" s="209">
        <v>9</v>
      </c>
      <c r="E297" s="162" t="s">
        <v>442</v>
      </c>
      <c r="F297" s="163" t="s">
        <v>442</v>
      </c>
      <c r="G297" s="79">
        <v>3995</v>
      </c>
      <c r="H297" s="322">
        <v>4048</v>
      </c>
      <c r="I297" s="79">
        <v>55579</v>
      </c>
      <c r="J297" s="322">
        <v>58216</v>
      </c>
      <c r="K297" s="79">
        <v>12882</v>
      </c>
      <c r="L297" s="322">
        <v>13313</v>
      </c>
      <c r="M297" s="79">
        <v>64597</v>
      </c>
      <c r="N297" s="322">
        <v>68759</v>
      </c>
      <c r="O297" s="323">
        <f t="shared" si="88"/>
        <v>137053</v>
      </c>
      <c r="P297" s="638">
        <f t="shared" si="98"/>
        <v>0</v>
      </c>
      <c r="Q297" s="639" t="s">
        <v>949</v>
      </c>
      <c r="R297" s="90">
        <f t="shared" si="102"/>
        <v>4568.4333333333334</v>
      </c>
      <c r="S297" s="324">
        <f t="shared" si="89"/>
        <v>144336</v>
      </c>
      <c r="T297" s="638">
        <f t="shared" si="99"/>
        <v>0</v>
      </c>
      <c r="U297" s="639" t="s">
        <v>949</v>
      </c>
      <c r="V297" s="80">
        <f t="shared" si="103"/>
        <v>4811.2</v>
      </c>
      <c r="W297" s="79"/>
      <c r="X297" s="322"/>
      <c r="Y297" s="79"/>
      <c r="Z297" s="322"/>
      <c r="AA297" s="79"/>
      <c r="AB297" s="322"/>
      <c r="AC297" s="79"/>
      <c r="AD297" s="322"/>
      <c r="AE297" s="323">
        <f t="shared" si="90"/>
        <v>0</v>
      </c>
      <c r="AF297" s="638">
        <f t="shared" si="100"/>
        <v>0</v>
      </c>
      <c r="AG297" s="322"/>
      <c r="AH297" s="90">
        <f t="shared" si="91"/>
        <v>0</v>
      </c>
      <c r="AI297" s="80">
        <f t="shared" si="92"/>
        <v>0</v>
      </c>
      <c r="AJ297" s="638">
        <f t="shared" si="101"/>
        <v>0</v>
      </c>
      <c r="AK297" s="322"/>
      <c r="AL297" s="80">
        <f t="shared" si="93"/>
        <v>0</v>
      </c>
      <c r="AM297" s="79">
        <v>0</v>
      </c>
      <c r="AN297" s="322"/>
      <c r="AO297" s="79">
        <v>0</v>
      </c>
      <c r="AP297" s="322"/>
      <c r="AQ297" s="79">
        <v>0</v>
      </c>
      <c r="AR297" s="322"/>
      <c r="AS297" s="79">
        <v>0</v>
      </c>
      <c r="AT297" s="322"/>
      <c r="AU297" s="325">
        <f t="shared" si="94"/>
        <v>0</v>
      </c>
      <c r="AV297" s="90">
        <f t="shared" si="104"/>
        <v>0</v>
      </c>
      <c r="AW297" s="324">
        <f t="shared" si="95"/>
        <v>0</v>
      </c>
      <c r="AX297" s="80">
        <f t="shared" si="105"/>
        <v>0</v>
      </c>
      <c r="AY297" s="326">
        <f t="shared" si="96"/>
        <v>4568.4333333333334</v>
      </c>
      <c r="AZ297" s="80">
        <f t="shared" si="97"/>
        <v>4811.2</v>
      </c>
    </row>
    <row r="298" spans="1:52">
      <c r="A298" s="206" t="s">
        <v>200</v>
      </c>
      <c r="B298" s="208" t="s">
        <v>221</v>
      </c>
      <c r="C298" s="228">
        <v>405872</v>
      </c>
      <c r="D298" s="358">
        <v>10</v>
      </c>
      <c r="E298" s="162" t="s">
        <v>442</v>
      </c>
      <c r="F298" s="163" t="s">
        <v>442</v>
      </c>
      <c r="G298" s="79">
        <v>980</v>
      </c>
      <c r="H298" s="322">
        <v>1486</v>
      </c>
      <c r="I298" s="79">
        <v>24615</v>
      </c>
      <c r="J298" s="322">
        <v>29581</v>
      </c>
      <c r="K298" s="79">
        <v>4538</v>
      </c>
      <c r="L298" s="322">
        <v>5659</v>
      </c>
      <c r="M298" s="79">
        <v>27202</v>
      </c>
      <c r="N298" s="322">
        <v>32916</v>
      </c>
      <c r="O298" s="323">
        <f t="shared" si="88"/>
        <v>57335</v>
      </c>
      <c r="P298" s="638">
        <f t="shared" si="98"/>
        <v>0</v>
      </c>
      <c r="Q298" s="639" t="s">
        <v>949</v>
      </c>
      <c r="R298" s="90">
        <f t="shared" si="102"/>
        <v>1911.1666666666667</v>
      </c>
      <c r="S298" s="324">
        <f t="shared" si="89"/>
        <v>69642</v>
      </c>
      <c r="T298" s="638">
        <f t="shared" si="99"/>
        <v>0</v>
      </c>
      <c r="U298" s="639" t="s">
        <v>949</v>
      </c>
      <c r="V298" s="80">
        <f t="shared" si="103"/>
        <v>2321.4</v>
      </c>
      <c r="W298" s="79"/>
      <c r="X298" s="322"/>
      <c r="Y298" s="79"/>
      <c r="Z298" s="322"/>
      <c r="AA298" s="79"/>
      <c r="AB298" s="322"/>
      <c r="AC298" s="79"/>
      <c r="AD298" s="322"/>
      <c r="AE298" s="323">
        <f t="shared" si="90"/>
        <v>0</v>
      </c>
      <c r="AF298" s="638">
        <f t="shared" si="100"/>
        <v>0</v>
      </c>
      <c r="AG298" s="322"/>
      <c r="AH298" s="90">
        <f t="shared" si="91"/>
        <v>0</v>
      </c>
      <c r="AI298" s="80">
        <f t="shared" si="92"/>
        <v>0</v>
      </c>
      <c r="AJ298" s="638">
        <f t="shared" si="101"/>
        <v>0</v>
      </c>
      <c r="AK298" s="322"/>
      <c r="AL298" s="80">
        <f t="shared" si="93"/>
        <v>0</v>
      </c>
      <c r="AM298" s="79">
        <v>0</v>
      </c>
      <c r="AN298" s="322"/>
      <c r="AO298" s="79">
        <v>0</v>
      </c>
      <c r="AP298" s="322"/>
      <c r="AQ298" s="79">
        <v>0</v>
      </c>
      <c r="AR298" s="322"/>
      <c r="AS298" s="79">
        <v>0</v>
      </c>
      <c r="AT298" s="322"/>
      <c r="AU298" s="325">
        <f t="shared" si="94"/>
        <v>0</v>
      </c>
      <c r="AV298" s="90">
        <f t="shared" si="104"/>
        <v>0</v>
      </c>
      <c r="AW298" s="324">
        <f t="shared" si="95"/>
        <v>0</v>
      </c>
      <c r="AX298" s="80">
        <f t="shared" si="105"/>
        <v>0</v>
      </c>
      <c r="AY298" s="326">
        <f t="shared" si="96"/>
        <v>1911.1666666666667</v>
      </c>
      <c r="AZ298" s="80">
        <f t="shared" si="97"/>
        <v>2321.4</v>
      </c>
    </row>
    <row r="299" spans="1:52">
      <c r="A299" s="206" t="s">
        <v>200</v>
      </c>
      <c r="B299" s="208" t="s">
        <v>222</v>
      </c>
      <c r="C299" s="228">
        <v>162104</v>
      </c>
      <c r="D299" s="358">
        <v>10</v>
      </c>
      <c r="E299" s="162" t="s">
        <v>442</v>
      </c>
      <c r="F299" s="163" t="s">
        <v>442</v>
      </c>
      <c r="G299" s="79">
        <v>0</v>
      </c>
      <c r="H299" s="322">
        <v>0</v>
      </c>
      <c r="I299" s="79">
        <v>16385</v>
      </c>
      <c r="J299" s="322">
        <v>17758</v>
      </c>
      <c r="K299" s="79">
        <v>3312</v>
      </c>
      <c r="L299" s="322">
        <v>3332</v>
      </c>
      <c r="M299" s="79">
        <v>19585</v>
      </c>
      <c r="N299" s="322">
        <v>21604</v>
      </c>
      <c r="O299" s="323">
        <f t="shared" si="88"/>
        <v>39282</v>
      </c>
      <c r="P299" s="638">
        <f t="shared" si="98"/>
        <v>0</v>
      </c>
      <c r="Q299" s="639" t="s">
        <v>949</v>
      </c>
      <c r="R299" s="90">
        <f t="shared" si="102"/>
        <v>1309.4000000000001</v>
      </c>
      <c r="S299" s="324">
        <f t="shared" si="89"/>
        <v>42694</v>
      </c>
      <c r="T299" s="638">
        <f t="shared" si="99"/>
        <v>0</v>
      </c>
      <c r="U299" s="639" t="s">
        <v>949</v>
      </c>
      <c r="V299" s="80">
        <f t="shared" si="103"/>
        <v>1423.1333333333334</v>
      </c>
      <c r="W299" s="79"/>
      <c r="X299" s="322"/>
      <c r="Y299" s="79"/>
      <c r="Z299" s="322"/>
      <c r="AA299" s="79"/>
      <c r="AB299" s="322"/>
      <c r="AC299" s="79"/>
      <c r="AD299" s="322"/>
      <c r="AE299" s="323">
        <f t="shared" si="90"/>
        <v>0</v>
      </c>
      <c r="AF299" s="638">
        <f t="shared" si="100"/>
        <v>0</v>
      </c>
      <c r="AG299" s="322"/>
      <c r="AH299" s="90">
        <f t="shared" si="91"/>
        <v>0</v>
      </c>
      <c r="AI299" s="80">
        <f t="shared" si="92"/>
        <v>0</v>
      </c>
      <c r="AJ299" s="638">
        <f t="shared" si="101"/>
        <v>0</v>
      </c>
      <c r="AK299" s="322"/>
      <c r="AL299" s="80">
        <f t="shared" si="93"/>
        <v>0</v>
      </c>
      <c r="AM299" s="79">
        <v>0</v>
      </c>
      <c r="AN299" s="322"/>
      <c r="AO299" s="79">
        <v>0</v>
      </c>
      <c r="AP299" s="322"/>
      <c r="AQ299" s="79">
        <v>0</v>
      </c>
      <c r="AR299" s="322"/>
      <c r="AS299" s="79">
        <v>0</v>
      </c>
      <c r="AT299" s="322"/>
      <c r="AU299" s="325">
        <f t="shared" si="94"/>
        <v>0</v>
      </c>
      <c r="AV299" s="90">
        <f t="shared" si="104"/>
        <v>0</v>
      </c>
      <c r="AW299" s="324">
        <f t="shared" si="95"/>
        <v>0</v>
      </c>
      <c r="AX299" s="80">
        <f t="shared" si="105"/>
        <v>0</v>
      </c>
      <c r="AY299" s="326">
        <f t="shared" si="96"/>
        <v>1309.4000000000001</v>
      </c>
      <c r="AZ299" s="80">
        <f t="shared" si="97"/>
        <v>1423.1333333333334</v>
      </c>
    </row>
    <row r="300" spans="1:52">
      <c r="A300" s="206" t="s">
        <v>200</v>
      </c>
      <c r="B300" s="208" t="s">
        <v>223</v>
      </c>
      <c r="C300" s="228">
        <v>162168</v>
      </c>
      <c r="D300" s="358">
        <v>10</v>
      </c>
      <c r="E300" s="162" t="s">
        <v>442</v>
      </c>
      <c r="F300" s="163" t="s">
        <v>442</v>
      </c>
      <c r="G300" s="79">
        <v>187</v>
      </c>
      <c r="H300" s="322">
        <v>142</v>
      </c>
      <c r="I300" s="79">
        <v>18901</v>
      </c>
      <c r="J300" s="322">
        <v>19939</v>
      </c>
      <c r="K300" s="79">
        <v>2310</v>
      </c>
      <c r="L300" s="322">
        <v>2553</v>
      </c>
      <c r="M300" s="79">
        <v>21787</v>
      </c>
      <c r="N300" s="322">
        <v>22567</v>
      </c>
      <c r="O300" s="323">
        <f t="shared" si="88"/>
        <v>43185</v>
      </c>
      <c r="P300" s="638">
        <f t="shared" si="98"/>
        <v>0</v>
      </c>
      <c r="Q300" s="639" t="s">
        <v>949</v>
      </c>
      <c r="R300" s="90">
        <f t="shared" si="102"/>
        <v>1439.5</v>
      </c>
      <c r="S300" s="324">
        <f t="shared" si="89"/>
        <v>45201</v>
      </c>
      <c r="T300" s="638">
        <f t="shared" si="99"/>
        <v>0</v>
      </c>
      <c r="U300" s="639" t="s">
        <v>949</v>
      </c>
      <c r="V300" s="80">
        <f t="shared" si="103"/>
        <v>1506.7</v>
      </c>
      <c r="W300" s="79"/>
      <c r="X300" s="322"/>
      <c r="Y300" s="79"/>
      <c r="Z300" s="322"/>
      <c r="AA300" s="79"/>
      <c r="AB300" s="322"/>
      <c r="AC300" s="79"/>
      <c r="AD300" s="322"/>
      <c r="AE300" s="323">
        <f t="shared" si="90"/>
        <v>0</v>
      </c>
      <c r="AF300" s="638">
        <f t="shared" si="100"/>
        <v>0</v>
      </c>
      <c r="AG300" s="322"/>
      <c r="AH300" s="90">
        <f t="shared" si="91"/>
        <v>0</v>
      </c>
      <c r="AI300" s="80">
        <f t="shared" si="92"/>
        <v>0</v>
      </c>
      <c r="AJ300" s="638">
        <f t="shared" si="101"/>
        <v>0</v>
      </c>
      <c r="AK300" s="322"/>
      <c r="AL300" s="80">
        <f t="shared" si="93"/>
        <v>0</v>
      </c>
      <c r="AM300" s="79">
        <v>0</v>
      </c>
      <c r="AN300" s="322"/>
      <c r="AO300" s="79">
        <v>0</v>
      </c>
      <c r="AP300" s="322"/>
      <c r="AQ300" s="79">
        <v>0</v>
      </c>
      <c r="AR300" s="322"/>
      <c r="AS300" s="79">
        <v>0</v>
      </c>
      <c r="AT300" s="322"/>
      <c r="AU300" s="325">
        <f t="shared" si="94"/>
        <v>0</v>
      </c>
      <c r="AV300" s="90">
        <f t="shared" si="104"/>
        <v>0</v>
      </c>
      <c r="AW300" s="324">
        <f t="shared" si="95"/>
        <v>0</v>
      </c>
      <c r="AX300" s="80">
        <f t="shared" si="105"/>
        <v>0</v>
      </c>
      <c r="AY300" s="326">
        <f t="shared" si="96"/>
        <v>1439.5</v>
      </c>
      <c r="AZ300" s="80">
        <f t="shared" si="97"/>
        <v>1506.7</v>
      </c>
    </row>
    <row r="301" spans="1:52">
      <c r="A301" s="206" t="s">
        <v>200</v>
      </c>
      <c r="B301" s="208" t="s">
        <v>224</v>
      </c>
      <c r="C301" s="228">
        <v>162609</v>
      </c>
      <c r="D301" s="358">
        <v>10</v>
      </c>
      <c r="E301" s="162" t="s">
        <v>442</v>
      </c>
      <c r="F301" s="163" t="s">
        <v>442</v>
      </c>
      <c r="G301" s="79">
        <v>225</v>
      </c>
      <c r="H301" s="322">
        <v>144</v>
      </c>
      <c r="I301" s="79">
        <v>7974</v>
      </c>
      <c r="J301" s="322">
        <v>8480.75</v>
      </c>
      <c r="K301" s="79">
        <v>629</v>
      </c>
      <c r="L301" s="322">
        <v>567</v>
      </c>
      <c r="M301" s="79">
        <v>9105</v>
      </c>
      <c r="N301" s="322">
        <v>9561.75</v>
      </c>
      <c r="O301" s="323">
        <f t="shared" si="88"/>
        <v>17933</v>
      </c>
      <c r="P301" s="638">
        <f t="shared" si="98"/>
        <v>0</v>
      </c>
      <c r="Q301" s="639" t="s">
        <v>949</v>
      </c>
      <c r="R301" s="90">
        <f t="shared" si="102"/>
        <v>597.76666666666665</v>
      </c>
      <c r="S301" s="324">
        <f t="shared" si="89"/>
        <v>18753.5</v>
      </c>
      <c r="T301" s="638">
        <f t="shared" si="99"/>
        <v>0</v>
      </c>
      <c r="U301" s="639" t="s">
        <v>949</v>
      </c>
      <c r="V301" s="80">
        <f t="shared" si="103"/>
        <v>625.11666666666667</v>
      </c>
      <c r="W301" s="79"/>
      <c r="X301" s="322"/>
      <c r="Y301" s="79"/>
      <c r="Z301" s="322"/>
      <c r="AA301" s="79"/>
      <c r="AB301" s="322"/>
      <c r="AC301" s="79"/>
      <c r="AD301" s="322"/>
      <c r="AE301" s="323">
        <f t="shared" si="90"/>
        <v>0</v>
      </c>
      <c r="AF301" s="638">
        <f t="shared" si="100"/>
        <v>0</v>
      </c>
      <c r="AG301" s="322"/>
      <c r="AH301" s="90">
        <f t="shared" si="91"/>
        <v>0</v>
      </c>
      <c r="AI301" s="80">
        <f t="shared" si="92"/>
        <v>0</v>
      </c>
      <c r="AJ301" s="638">
        <f t="shared" si="101"/>
        <v>0</v>
      </c>
      <c r="AK301" s="322"/>
      <c r="AL301" s="80">
        <f t="shared" si="93"/>
        <v>0</v>
      </c>
      <c r="AM301" s="79">
        <v>0</v>
      </c>
      <c r="AN301" s="322"/>
      <c r="AO301" s="79">
        <v>0</v>
      </c>
      <c r="AP301" s="322"/>
      <c r="AQ301" s="79">
        <v>0</v>
      </c>
      <c r="AR301" s="322"/>
      <c r="AS301" s="79">
        <v>0</v>
      </c>
      <c r="AT301" s="322"/>
      <c r="AU301" s="325">
        <f t="shared" si="94"/>
        <v>0</v>
      </c>
      <c r="AV301" s="90">
        <f t="shared" si="104"/>
        <v>0</v>
      </c>
      <c r="AW301" s="324">
        <f t="shared" si="95"/>
        <v>0</v>
      </c>
      <c r="AX301" s="80">
        <f t="shared" si="105"/>
        <v>0</v>
      </c>
      <c r="AY301" s="326">
        <f t="shared" si="96"/>
        <v>597.76666666666665</v>
      </c>
      <c r="AZ301" s="80">
        <f t="shared" si="97"/>
        <v>625.11666666666667</v>
      </c>
    </row>
    <row r="302" spans="1:52">
      <c r="A302" s="206" t="s">
        <v>200</v>
      </c>
      <c r="B302" s="208" t="s">
        <v>226</v>
      </c>
      <c r="C302" s="228">
        <v>164313</v>
      </c>
      <c r="D302" s="358">
        <v>10</v>
      </c>
      <c r="E302" s="162" t="s">
        <v>442</v>
      </c>
      <c r="F302" s="163" t="s">
        <v>442</v>
      </c>
      <c r="G302" s="79">
        <v>0</v>
      </c>
      <c r="H302" s="322">
        <v>0</v>
      </c>
      <c r="I302" s="79">
        <v>23765</v>
      </c>
      <c r="J302" s="322">
        <v>26286</v>
      </c>
      <c r="K302" s="79">
        <v>6774</v>
      </c>
      <c r="L302" s="322">
        <v>7405</v>
      </c>
      <c r="M302" s="79">
        <v>28931</v>
      </c>
      <c r="N302" s="322">
        <v>32298</v>
      </c>
      <c r="O302" s="323">
        <f t="shared" si="88"/>
        <v>59470</v>
      </c>
      <c r="P302" s="638">
        <f t="shared" si="98"/>
        <v>0</v>
      </c>
      <c r="Q302" s="639" t="s">
        <v>949</v>
      </c>
      <c r="R302" s="90">
        <f t="shared" si="102"/>
        <v>1982.3333333333333</v>
      </c>
      <c r="S302" s="324">
        <f t="shared" si="89"/>
        <v>65989</v>
      </c>
      <c r="T302" s="638">
        <f t="shared" si="99"/>
        <v>0</v>
      </c>
      <c r="U302" s="639" t="s">
        <v>949</v>
      </c>
      <c r="V302" s="80">
        <f t="shared" si="103"/>
        <v>2199.6333333333332</v>
      </c>
      <c r="W302" s="79"/>
      <c r="X302" s="322"/>
      <c r="Y302" s="79"/>
      <c r="Z302" s="322"/>
      <c r="AA302" s="79"/>
      <c r="AB302" s="322"/>
      <c r="AC302" s="79"/>
      <c r="AD302" s="322"/>
      <c r="AE302" s="323">
        <f t="shared" si="90"/>
        <v>0</v>
      </c>
      <c r="AF302" s="638">
        <f t="shared" si="100"/>
        <v>0</v>
      </c>
      <c r="AG302" s="322"/>
      <c r="AH302" s="90">
        <f t="shared" si="91"/>
        <v>0</v>
      </c>
      <c r="AI302" s="80">
        <f t="shared" si="92"/>
        <v>0</v>
      </c>
      <c r="AJ302" s="638">
        <f t="shared" si="101"/>
        <v>0</v>
      </c>
      <c r="AK302" s="322"/>
      <c r="AL302" s="80">
        <f t="shared" si="93"/>
        <v>0</v>
      </c>
      <c r="AM302" s="79">
        <v>0</v>
      </c>
      <c r="AN302" s="322"/>
      <c r="AO302" s="79">
        <v>0</v>
      </c>
      <c r="AP302" s="322"/>
      <c r="AQ302" s="79">
        <v>0</v>
      </c>
      <c r="AR302" s="322"/>
      <c r="AS302" s="79">
        <v>0</v>
      </c>
      <c r="AT302" s="322"/>
      <c r="AU302" s="325">
        <f t="shared" si="94"/>
        <v>0</v>
      </c>
      <c r="AV302" s="90">
        <f t="shared" si="104"/>
        <v>0</v>
      </c>
      <c r="AW302" s="324">
        <f t="shared" si="95"/>
        <v>0</v>
      </c>
      <c r="AX302" s="80">
        <f t="shared" si="105"/>
        <v>0</v>
      </c>
      <c r="AY302" s="326">
        <f t="shared" si="96"/>
        <v>1982.3333333333333</v>
      </c>
      <c r="AZ302" s="80">
        <f t="shared" si="97"/>
        <v>2199.6333333333332</v>
      </c>
    </row>
    <row r="303" spans="1:52">
      <c r="A303" s="164" t="s">
        <v>703</v>
      </c>
      <c r="B303" s="166" t="s">
        <v>706</v>
      </c>
      <c r="C303" s="230">
        <v>176080</v>
      </c>
      <c r="D303" s="167">
        <v>1</v>
      </c>
      <c r="E303" s="162" t="s">
        <v>442</v>
      </c>
      <c r="F303" s="163" t="s">
        <v>442</v>
      </c>
      <c r="G303" s="79"/>
      <c r="H303" s="322"/>
      <c r="I303" s="79">
        <v>151180</v>
      </c>
      <c r="J303" s="322">
        <v>158091</v>
      </c>
      <c r="K303" s="79">
        <v>37241</v>
      </c>
      <c r="L303" s="322">
        <v>35135</v>
      </c>
      <c r="M303" s="79">
        <v>170980</v>
      </c>
      <c r="N303" s="322">
        <v>182510</v>
      </c>
      <c r="O303" s="323">
        <f t="shared" si="88"/>
        <v>359401</v>
      </c>
      <c r="P303" s="638">
        <f t="shared" si="98"/>
        <v>0</v>
      </c>
      <c r="Q303" s="639" t="s">
        <v>949</v>
      </c>
      <c r="R303" s="90">
        <f t="shared" si="102"/>
        <v>11980.033333333333</v>
      </c>
      <c r="S303" s="324">
        <f t="shared" si="89"/>
        <v>375736</v>
      </c>
      <c r="T303" s="638">
        <f t="shared" si="99"/>
        <v>0</v>
      </c>
      <c r="U303" s="639" t="s">
        <v>949</v>
      </c>
      <c r="V303" s="80">
        <f t="shared" si="103"/>
        <v>12524.533333333333</v>
      </c>
      <c r="W303" s="79"/>
      <c r="X303" s="322"/>
      <c r="Y303" s="79"/>
      <c r="Z303" s="322"/>
      <c r="AA303" s="79"/>
      <c r="AB303" s="322"/>
      <c r="AC303" s="79"/>
      <c r="AD303" s="322"/>
      <c r="AE303" s="323">
        <f t="shared" si="90"/>
        <v>0</v>
      </c>
      <c r="AF303" s="638">
        <f t="shared" si="100"/>
        <v>0</v>
      </c>
      <c r="AG303" s="322"/>
      <c r="AH303" s="90">
        <f t="shared" si="91"/>
        <v>0</v>
      </c>
      <c r="AI303" s="80">
        <f t="shared" si="92"/>
        <v>0</v>
      </c>
      <c r="AJ303" s="638">
        <f t="shared" si="101"/>
        <v>0</v>
      </c>
      <c r="AK303" s="322"/>
      <c r="AL303" s="80">
        <f t="shared" si="93"/>
        <v>0</v>
      </c>
      <c r="AM303" s="79"/>
      <c r="AN303" s="322"/>
      <c r="AO303" s="79">
        <v>22453</v>
      </c>
      <c r="AP303" s="322">
        <v>22695</v>
      </c>
      <c r="AQ303" s="79">
        <v>12840</v>
      </c>
      <c r="AR303" s="322">
        <v>12324</v>
      </c>
      <c r="AS303" s="79">
        <v>23695</v>
      </c>
      <c r="AT303" s="322">
        <v>23540</v>
      </c>
      <c r="AU303" s="325">
        <f t="shared" si="94"/>
        <v>58988</v>
      </c>
      <c r="AV303" s="90">
        <f t="shared" si="104"/>
        <v>2457.8333333333335</v>
      </c>
      <c r="AW303" s="324">
        <f t="shared" si="95"/>
        <v>58559</v>
      </c>
      <c r="AX303" s="80">
        <f t="shared" si="105"/>
        <v>2439.9583333333335</v>
      </c>
      <c r="AY303" s="326">
        <f t="shared" si="96"/>
        <v>14437.866666666667</v>
      </c>
      <c r="AZ303" s="80">
        <f t="shared" si="97"/>
        <v>14964.491666666667</v>
      </c>
    </row>
    <row r="304" spans="1:52">
      <c r="A304" s="164" t="s">
        <v>703</v>
      </c>
      <c r="B304" s="164" t="s">
        <v>704</v>
      </c>
      <c r="C304" s="229">
        <v>176372</v>
      </c>
      <c r="D304" s="165">
        <v>1</v>
      </c>
      <c r="E304" s="162" t="s">
        <v>442</v>
      </c>
      <c r="F304" s="163" t="s">
        <v>442</v>
      </c>
      <c r="G304" s="79"/>
      <c r="H304" s="322"/>
      <c r="I304" s="79">
        <v>136026</v>
      </c>
      <c r="J304" s="322">
        <v>134464</v>
      </c>
      <c r="K304" s="79">
        <v>33951</v>
      </c>
      <c r="L304" s="322">
        <v>33946.5</v>
      </c>
      <c r="M304" s="79">
        <v>148165</v>
      </c>
      <c r="N304" s="322">
        <v>152048</v>
      </c>
      <c r="O304" s="323">
        <f t="shared" si="88"/>
        <v>318142</v>
      </c>
      <c r="P304" s="638">
        <f t="shared" si="98"/>
        <v>0</v>
      </c>
      <c r="Q304" s="639" t="s">
        <v>949</v>
      </c>
      <c r="R304" s="90">
        <f t="shared" si="102"/>
        <v>10604.733333333334</v>
      </c>
      <c r="S304" s="324">
        <f t="shared" si="89"/>
        <v>320458.5</v>
      </c>
      <c r="T304" s="638">
        <f t="shared" si="99"/>
        <v>0</v>
      </c>
      <c r="U304" s="639" t="s">
        <v>949</v>
      </c>
      <c r="V304" s="80">
        <f t="shared" si="103"/>
        <v>10681.95</v>
      </c>
      <c r="W304" s="79"/>
      <c r="X304" s="322"/>
      <c r="Y304" s="79"/>
      <c r="Z304" s="322"/>
      <c r="AA304" s="79"/>
      <c r="AB304" s="322"/>
      <c r="AC304" s="79"/>
      <c r="AD304" s="322"/>
      <c r="AE304" s="323">
        <f t="shared" si="90"/>
        <v>0</v>
      </c>
      <c r="AF304" s="638">
        <f t="shared" si="100"/>
        <v>0</v>
      </c>
      <c r="AG304" s="322"/>
      <c r="AH304" s="90">
        <f t="shared" si="91"/>
        <v>0</v>
      </c>
      <c r="AI304" s="80">
        <f t="shared" si="92"/>
        <v>0</v>
      </c>
      <c r="AJ304" s="638">
        <f t="shared" si="101"/>
        <v>0</v>
      </c>
      <c r="AK304" s="322"/>
      <c r="AL304" s="80">
        <f t="shared" si="93"/>
        <v>0</v>
      </c>
      <c r="AM304" s="79"/>
      <c r="AN304" s="322"/>
      <c r="AO304" s="79">
        <v>20265</v>
      </c>
      <c r="AP304" s="322">
        <v>21072</v>
      </c>
      <c r="AQ304" s="79">
        <v>15519</v>
      </c>
      <c r="AR304" s="322">
        <v>15700</v>
      </c>
      <c r="AS304" s="79">
        <v>21083</v>
      </c>
      <c r="AT304" s="322">
        <v>21617</v>
      </c>
      <c r="AU304" s="325">
        <f t="shared" si="94"/>
        <v>56867</v>
      </c>
      <c r="AV304" s="90">
        <f t="shared" si="104"/>
        <v>2369.4583333333335</v>
      </c>
      <c r="AW304" s="324">
        <f t="shared" si="95"/>
        <v>58389</v>
      </c>
      <c r="AX304" s="80">
        <f t="shared" si="105"/>
        <v>2432.875</v>
      </c>
      <c r="AY304" s="326">
        <f t="shared" si="96"/>
        <v>12974.191666666668</v>
      </c>
      <c r="AZ304" s="80">
        <f t="shared" si="97"/>
        <v>13114.825000000001</v>
      </c>
    </row>
    <row r="305" spans="1:52">
      <c r="A305" s="164" t="s">
        <v>703</v>
      </c>
      <c r="B305" s="164" t="s">
        <v>705</v>
      </c>
      <c r="C305" s="229">
        <v>175856</v>
      </c>
      <c r="D305" s="165">
        <v>2</v>
      </c>
      <c r="E305" s="162" t="s">
        <v>442</v>
      </c>
      <c r="F305" s="163" t="s">
        <v>442</v>
      </c>
      <c r="G305" s="79"/>
      <c r="H305" s="322"/>
      <c r="I305" s="79">
        <v>73492</v>
      </c>
      <c r="J305" s="322">
        <v>71703.5</v>
      </c>
      <c r="K305" s="79">
        <v>14864</v>
      </c>
      <c r="L305" s="322">
        <v>11963</v>
      </c>
      <c r="M305" s="79">
        <v>78858</v>
      </c>
      <c r="N305" s="322">
        <v>72762.5</v>
      </c>
      <c r="O305" s="323">
        <f t="shared" si="88"/>
        <v>167214</v>
      </c>
      <c r="P305" s="638">
        <f t="shared" si="98"/>
        <v>0</v>
      </c>
      <c r="Q305" s="639" t="s">
        <v>949</v>
      </c>
      <c r="R305" s="90">
        <f t="shared" si="102"/>
        <v>5573.8</v>
      </c>
      <c r="S305" s="324">
        <f t="shared" si="89"/>
        <v>156429</v>
      </c>
      <c r="T305" s="638">
        <f t="shared" si="99"/>
        <v>0</v>
      </c>
      <c r="U305" s="639" t="s">
        <v>949</v>
      </c>
      <c r="V305" s="80">
        <f t="shared" si="103"/>
        <v>5214.3</v>
      </c>
      <c r="W305" s="79"/>
      <c r="X305" s="322"/>
      <c r="Y305" s="79"/>
      <c r="Z305" s="322"/>
      <c r="AA305" s="79"/>
      <c r="AB305" s="322"/>
      <c r="AC305" s="79"/>
      <c r="AD305" s="322"/>
      <c r="AE305" s="323">
        <f t="shared" si="90"/>
        <v>0</v>
      </c>
      <c r="AF305" s="638">
        <f t="shared" si="100"/>
        <v>0</v>
      </c>
      <c r="AG305" s="322"/>
      <c r="AH305" s="90">
        <f t="shared" si="91"/>
        <v>0</v>
      </c>
      <c r="AI305" s="80">
        <f t="shared" si="92"/>
        <v>0</v>
      </c>
      <c r="AJ305" s="638">
        <f t="shared" si="101"/>
        <v>0</v>
      </c>
      <c r="AK305" s="322"/>
      <c r="AL305" s="80">
        <f t="shared" si="93"/>
        <v>0</v>
      </c>
      <c r="AM305" s="79"/>
      <c r="AN305" s="322"/>
      <c r="AO305" s="79">
        <v>11765</v>
      </c>
      <c r="AP305" s="322">
        <v>11581.5</v>
      </c>
      <c r="AQ305" s="79">
        <v>5569</v>
      </c>
      <c r="AR305" s="322">
        <v>5162</v>
      </c>
      <c r="AS305" s="79">
        <v>12060</v>
      </c>
      <c r="AT305" s="322">
        <v>11278.5</v>
      </c>
      <c r="AU305" s="325">
        <f t="shared" si="94"/>
        <v>29394</v>
      </c>
      <c r="AV305" s="90">
        <f t="shared" si="104"/>
        <v>1224.75</v>
      </c>
      <c r="AW305" s="324">
        <f t="shared" si="95"/>
        <v>28022</v>
      </c>
      <c r="AX305" s="80">
        <f t="shared" si="105"/>
        <v>1167.5833333333333</v>
      </c>
      <c r="AY305" s="326">
        <f t="shared" si="96"/>
        <v>6798.55</v>
      </c>
      <c r="AZ305" s="80">
        <f t="shared" si="97"/>
        <v>6381.8833333333332</v>
      </c>
    </row>
    <row r="306" spans="1:52">
      <c r="A306" s="164" t="s">
        <v>703</v>
      </c>
      <c r="B306" s="166" t="s">
        <v>707</v>
      </c>
      <c r="C306" s="229">
        <v>176017</v>
      </c>
      <c r="D306" s="165">
        <v>2</v>
      </c>
      <c r="E306" s="162" t="s">
        <v>442</v>
      </c>
      <c r="F306" s="163" t="s">
        <v>442</v>
      </c>
      <c r="G306" s="79"/>
      <c r="H306" s="322"/>
      <c r="I306" s="79">
        <v>161279</v>
      </c>
      <c r="J306" s="322">
        <v>162147</v>
      </c>
      <c r="K306" s="79">
        <v>42621</v>
      </c>
      <c r="L306" s="322">
        <v>41185</v>
      </c>
      <c r="M306" s="79">
        <v>163899</v>
      </c>
      <c r="N306" s="322">
        <v>165340</v>
      </c>
      <c r="O306" s="323">
        <f t="shared" si="88"/>
        <v>367799</v>
      </c>
      <c r="P306" s="638">
        <f t="shared" si="98"/>
        <v>0</v>
      </c>
      <c r="Q306" s="639" t="s">
        <v>949</v>
      </c>
      <c r="R306" s="90">
        <f t="shared" si="102"/>
        <v>12259.966666666667</v>
      </c>
      <c r="S306" s="324">
        <f t="shared" si="89"/>
        <v>368672</v>
      </c>
      <c r="T306" s="638">
        <f t="shared" si="99"/>
        <v>0</v>
      </c>
      <c r="U306" s="639" t="s">
        <v>949</v>
      </c>
      <c r="V306" s="80">
        <f t="shared" si="103"/>
        <v>12289.066666666668</v>
      </c>
      <c r="W306" s="79"/>
      <c r="X306" s="322"/>
      <c r="Y306" s="79"/>
      <c r="Z306" s="322"/>
      <c r="AA306" s="79"/>
      <c r="AB306" s="322"/>
      <c r="AC306" s="79"/>
      <c r="AD306" s="322"/>
      <c r="AE306" s="323">
        <f t="shared" si="90"/>
        <v>0</v>
      </c>
      <c r="AF306" s="638">
        <f t="shared" si="100"/>
        <v>0</v>
      </c>
      <c r="AG306" s="322"/>
      <c r="AH306" s="90">
        <f t="shared" si="91"/>
        <v>0</v>
      </c>
      <c r="AI306" s="80">
        <f t="shared" si="92"/>
        <v>0</v>
      </c>
      <c r="AJ306" s="638">
        <f t="shared" si="101"/>
        <v>0</v>
      </c>
      <c r="AK306" s="322"/>
      <c r="AL306" s="80">
        <f t="shared" si="93"/>
        <v>0</v>
      </c>
      <c r="AM306" s="79"/>
      <c r="AN306" s="322"/>
      <c r="AO306" s="79">
        <v>25210</v>
      </c>
      <c r="AP306" s="322">
        <v>23415</v>
      </c>
      <c r="AQ306" s="79">
        <v>7363</v>
      </c>
      <c r="AR306" s="322">
        <v>7421</v>
      </c>
      <c r="AS306" s="79">
        <v>24471</v>
      </c>
      <c r="AT306" s="322">
        <v>24195</v>
      </c>
      <c r="AU306" s="325">
        <f t="shared" si="94"/>
        <v>57044</v>
      </c>
      <c r="AV306" s="90">
        <f t="shared" si="104"/>
        <v>2376.8333333333335</v>
      </c>
      <c r="AW306" s="324">
        <f t="shared" si="95"/>
        <v>55031</v>
      </c>
      <c r="AX306" s="80">
        <f t="shared" si="105"/>
        <v>2292.9583333333335</v>
      </c>
      <c r="AY306" s="326">
        <f t="shared" si="96"/>
        <v>14636.800000000001</v>
      </c>
      <c r="AZ306" s="80">
        <f t="shared" si="97"/>
        <v>14582.025000000001</v>
      </c>
    </row>
    <row r="307" spans="1:52">
      <c r="A307" s="164" t="s">
        <v>703</v>
      </c>
      <c r="B307" s="164" t="s">
        <v>708</v>
      </c>
      <c r="C307" s="229">
        <v>175342</v>
      </c>
      <c r="D307" s="165">
        <v>4</v>
      </c>
      <c r="E307" s="162" t="s">
        <v>442</v>
      </c>
      <c r="F307" s="163" t="s">
        <v>442</v>
      </c>
      <c r="G307" s="79"/>
      <c r="H307" s="322"/>
      <c r="I307" s="79">
        <v>36825</v>
      </c>
      <c r="J307" s="322">
        <v>34331</v>
      </c>
      <c r="K307" s="79">
        <v>8772</v>
      </c>
      <c r="L307" s="322">
        <v>8043</v>
      </c>
      <c r="M307" s="79">
        <v>37824</v>
      </c>
      <c r="N307" s="322">
        <v>35545</v>
      </c>
      <c r="O307" s="323">
        <f t="shared" si="88"/>
        <v>83421</v>
      </c>
      <c r="P307" s="638">
        <f t="shared" si="98"/>
        <v>0</v>
      </c>
      <c r="Q307" s="639" t="s">
        <v>949</v>
      </c>
      <c r="R307" s="90">
        <f t="shared" si="102"/>
        <v>2780.7</v>
      </c>
      <c r="S307" s="324">
        <f t="shared" si="89"/>
        <v>77919</v>
      </c>
      <c r="T307" s="638">
        <f t="shared" si="99"/>
        <v>0</v>
      </c>
      <c r="U307" s="639" t="s">
        <v>949</v>
      </c>
      <c r="V307" s="80">
        <f t="shared" si="103"/>
        <v>2597.3000000000002</v>
      </c>
      <c r="W307" s="79"/>
      <c r="X307" s="322"/>
      <c r="Y307" s="79"/>
      <c r="Z307" s="322"/>
      <c r="AA307" s="79"/>
      <c r="AB307" s="322"/>
      <c r="AC307" s="79"/>
      <c r="AD307" s="322"/>
      <c r="AE307" s="323">
        <f t="shared" si="90"/>
        <v>0</v>
      </c>
      <c r="AF307" s="638">
        <f t="shared" si="100"/>
        <v>0</v>
      </c>
      <c r="AG307" s="322"/>
      <c r="AH307" s="90">
        <f t="shared" si="91"/>
        <v>0</v>
      </c>
      <c r="AI307" s="80">
        <f t="shared" si="92"/>
        <v>0</v>
      </c>
      <c r="AJ307" s="638">
        <f t="shared" si="101"/>
        <v>0</v>
      </c>
      <c r="AK307" s="322"/>
      <c r="AL307" s="80">
        <f t="shared" si="93"/>
        <v>0</v>
      </c>
      <c r="AM307" s="79"/>
      <c r="AN307" s="322"/>
      <c r="AO307" s="79">
        <v>3637</v>
      </c>
      <c r="AP307" s="322">
        <v>4231</v>
      </c>
      <c r="AQ307" s="79">
        <v>3123</v>
      </c>
      <c r="AR307" s="322">
        <v>2851</v>
      </c>
      <c r="AS307" s="79">
        <v>4146</v>
      </c>
      <c r="AT307" s="322">
        <v>4201</v>
      </c>
      <c r="AU307" s="325">
        <f t="shared" si="94"/>
        <v>10906</v>
      </c>
      <c r="AV307" s="90">
        <f t="shared" si="104"/>
        <v>454.41666666666669</v>
      </c>
      <c r="AW307" s="324">
        <f t="shared" si="95"/>
        <v>11283</v>
      </c>
      <c r="AX307" s="80">
        <f t="shared" si="105"/>
        <v>470.125</v>
      </c>
      <c r="AY307" s="326">
        <f t="shared" si="96"/>
        <v>3235.1166666666663</v>
      </c>
      <c r="AZ307" s="80">
        <f t="shared" si="97"/>
        <v>3067.4250000000002</v>
      </c>
    </row>
    <row r="308" spans="1:52">
      <c r="A308" s="164" t="s">
        <v>703</v>
      </c>
      <c r="B308" s="166" t="s">
        <v>709</v>
      </c>
      <c r="C308" s="230">
        <v>175616</v>
      </c>
      <c r="D308" s="167">
        <v>4</v>
      </c>
      <c r="E308" s="162" t="s">
        <v>442</v>
      </c>
      <c r="F308" s="163" t="s">
        <v>442</v>
      </c>
      <c r="G308" s="79"/>
      <c r="H308" s="322"/>
      <c r="I308" s="79">
        <v>38665</v>
      </c>
      <c r="J308" s="322">
        <v>36647</v>
      </c>
      <c r="K308" s="79">
        <v>6665</v>
      </c>
      <c r="L308" s="322">
        <v>5842</v>
      </c>
      <c r="M308" s="79">
        <v>40304</v>
      </c>
      <c r="N308" s="322">
        <v>39349</v>
      </c>
      <c r="O308" s="323">
        <f t="shared" si="88"/>
        <v>85634</v>
      </c>
      <c r="P308" s="638">
        <f t="shared" si="98"/>
        <v>0</v>
      </c>
      <c r="Q308" s="639" t="s">
        <v>949</v>
      </c>
      <c r="R308" s="90">
        <f t="shared" si="102"/>
        <v>2854.4666666666667</v>
      </c>
      <c r="S308" s="324">
        <f t="shared" si="89"/>
        <v>81838</v>
      </c>
      <c r="T308" s="638">
        <f t="shared" si="99"/>
        <v>0</v>
      </c>
      <c r="U308" s="639" t="s">
        <v>949</v>
      </c>
      <c r="V308" s="80">
        <f t="shared" si="103"/>
        <v>2727.9333333333334</v>
      </c>
      <c r="W308" s="79"/>
      <c r="X308" s="322"/>
      <c r="Y308" s="79"/>
      <c r="Z308" s="322"/>
      <c r="AA308" s="79"/>
      <c r="AB308" s="322"/>
      <c r="AC308" s="79"/>
      <c r="AD308" s="322"/>
      <c r="AE308" s="323">
        <f t="shared" si="90"/>
        <v>0</v>
      </c>
      <c r="AF308" s="638">
        <f t="shared" si="100"/>
        <v>0</v>
      </c>
      <c r="AG308" s="322"/>
      <c r="AH308" s="90">
        <f t="shared" si="91"/>
        <v>0</v>
      </c>
      <c r="AI308" s="80">
        <f t="shared" si="92"/>
        <v>0</v>
      </c>
      <c r="AJ308" s="638">
        <f t="shared" si="101"/>
        <v>0</v>
      </c>
      <c r="AK308" s="322"/>
      <c r="AL308" s="80">
        <f t="shared" si="93"/>
        <v>0</v>
      </c>
      <c r="AM308" s="79"/>
      <c r="AN308" s="322"/>
      <c r="AO308" s="79">
        <v>4424</v>
      </c>
      <c r="AP308" s="322">
        <v>4626</v>
      </c>
      <c r="AQ308" s="79">
        <v>3568</v>
      </c>
      <c r="AR308" s="322">
        <v>3283</v>
      </c>
      <c r="AS308" s="79">
        <v>4588</v>
      </c>
      <c r="AT308" s="322">
        <v>4908</v>
      </c>
      <c r="AU308" s="325">
        <f t="shared" si="94"/>
        <v>12580</v>
      </c>
      <c r="AV308" s="90">
        <f t="shared" si="104"/>
        <v>524.16666666666663</v>
      </c>
      <c r="AW308" s="324">
        <f t="shared" si="95"/>
        <v>12817</v>
      </c>
      <c r="AX308" s="80">
        <f t="shared" si="105"/>
        <v>534.04166666666663</v>
      </c>
      <c r="AY308" s="326">
        <f t="shared" si="96"/>
        <v>3378.6333333333332</v>
      </c>
      <c r="AZ308" s="80">
        <f t="shared" si="97"/>
        <v>3261.9749999999999</v>
      </c>
    </row>
    <row r="309" spans="1:52">
      <c r="A309" s="164" t="s">
        <v>703</v>
      </c>
      <c r="B309" s="164" t="s">
        <v>710</v>
      </c>
      <c r="C309" s="229">
        <v>176035</v>
      </c>
      <c r="D309" s="165">
        <v>5</v>
      </c>
      <c r="E309" s="162" t="s">
        <v>442</v>
      </c>
      <c r="F309" s="163" t="s">
        <v>442</v>
      </c>
      <c r="G309" s="79"/>
      <c r="H309" s="322"/>
      <c r="I309" s="79">
        <v>25682</v>
      </c>
      <c r="J309" s="322">
        <v>24319</v>
      </c>
      <c r="K309" s="79">
        <v>5368</v>
      </c>
      <c r="L309" s="322">
        <v>5075</v>
      </c>
      <c r="M309" s="79">
        <v>26129</v>
      </c>
      <c r="N309" s="322">
        <v>26112</v>
      </c>
      <c r="O309" s="323">
        <f t="shared" si="88"/>
        <v>57179</v>
      </c>
      <c r="P309" s="638">
        <f t="shared" si="98"/>
        <v>0</v>
      </c>
      <c r="Q309" s="639" t="s">
        <v>949</v>
      </c>
      <c r="R309" s="90">
        <f t="shared" si="102"/>
        <v>1905.9666666666667</v>
      </c>
      <c r="S309" s="324">
        <f t="shared" si="89"/>
        <v>55506</v>
      </c>
      <c r="T309" s="638">
        <f t="shared" si="99"/>
        <v>0</v>
      </c>
      <c r="U309" s="639" t="s">
        <v>949</v>
      </c>
      <c r="V309" s="80">
        <f t="shared" si="103"/>
        <v>1850.2</v>
      </c>
      <c r="W309" s="79"/>
      <c r="X309" s="322"/>
      <c r="Y309" s="79"/>
      <c r="Z309" s="322"/>
      <c r="AA309" s="79"/>
      <c r="AB309" s="322"/>
      <c r="AC309" s="79"/>
      <c r="AD309" s="322"/>
      <c r="AE309" s="323">
        <f t="shared" si="90"/>
        <v>0</v>
      </c>
      <c r="AF309" s="638">
        <f t="shared" si="100"/>
        <v>0</v>
      </c>
      <c r="AG309" s="322"/>
      <c r="AH309" s="90">
        <f t="shared" si="91"/>
        <v>0</v>
      </c>
      <c r="AI309" s="80">
        <f t="shared" si="92"/>
        <v>0</v>
      </c>
      <c r="AJ309" s="638">
        <f t="shared" si="101"/>
        <v>0</v>
      </c>
      <c r="AK309" s="322"/>
      <c r="AL309" s="80">
        <f t="shared" si="93"/>
        <v>0</v>
      </c>
      <c r="AM309" s="79"/>
      <c r="AN309" s="322"/>
      <c r="AO309" s="79">
        <v>1084</v>
      </c>
      <c r="AP309" s="322">
        <v>825</v>
      </c>
      <c r="AQ309" s="79">
        <v>1047</v>
      </c>
      <c r="AR309" s="322">
        <v>1093</v>
      </c>
      <c r="AS309" s="79">
        <v>1116</v>
      </c>
      <c r="AT309" s="322">
        <v>1177</v>
      </c>
      <c r="AU309" s="325">
        <f t="shared" si="94"/>
        <v>3247</v>
      </c>
      <c r="AV309" s="90">
        <f t="shared" si="104"/>
        <v>135.29166666666666</v>
      </c>
      <c r="AW309" s="324">
        <f t="shared" si="95"/>
        <v>3095</v>
      </c>
      <c r="AX309" s="80">
        <f t="shared" si="105"/>
        <v>128.95833333333334</v>
      </c>
      <c r="AY309" s="326">
        <f t="shared" si="96"/>
        <v>2041.2583333333334</v>
      </c>
      <c r="AZ309" s="80">
        <f t="shared" si="97"/>
        <v>1979.1583333333333</v>
      </c>
    </row>
    <row r="310" spans="1:52">
      <c r="A310" s="164" t="s">
        <v>703</v>
      </c>
      <c r="B310" s="390" t="s">
        <v>711</v>
      </c>
      <c r="C310" s="229">
        <v>176044</v>
      </c>
      <c r="D310" s="165">
        <v>5</v>
      </c>
      <c r="E310" s="162" t="s">
        <v>442</v>
      </c>
      <c r="F310" s="163" t="s">
        <v>442</v>
      </c>
      <c r="G310" s="79"/>
      <c r="H310" s="322"/>
      <c r="I310" s="79">
        <v>32867</v>
      </c>
      <c r="J310" s="322">
        <v>31044</v>
      </c>
      <c r="K310" s="79">
        <v>8833</v>
      </c>
      <c r="L310" s="322">
        <v>6790</v>
      </c>
      <c r="M310" s="79">
        <v>34294</v>
      </c>
      <c r="N310" s="322">
        <v>32580</v>
      </c>
      <c r="O310" s="323">
        <f t="shared" si="88"/>
        <v>75994</v>
      </c>
      <c r="P310" s="638">
        <f t="shared" si="98"/>
        <v>0</v>
      </c>
      <c r="Q310" s="639" t="s">
        <v>949</v>
      </c>
      <c r="R310" s="90">
        <f t="shared" si="102"/>
        <v>2533.1333333333332</v>
      </c>
      <c r="S310" s="324">
        <f t="shared" si="89"/>
        <v>70414</v>
      </c>
      <c r="T310" s="638">
        <f t="shared" si="99"/>
        <v>0</v>
      </c>
      <c r="U310" s="639" t="s">
        <v>949</v>
      </c>
      <c r="V310" s="80">
        <f t="shared" si="103"/>
        <v>2347.1333333333332</v>
      </c>
      <c r="W310" s="79"/>
      <c r="X310" s="322"/>
      <c r="Y310" s="79"/>
      <c r="Z310" s="322"/>
      <c r="AA310" s="79"/>
      <c r="AB310" s="322"/>
      <c r="AC310" s="79"/>
      <c r="AD310" s="322"/>
      <c r="AE310" s="323">
        <f t="shared" si="90"/>
        <v>0</v>
      </c>
      <c r="AF310" s="638">
        <f t="shared" si="100"/>
        <v>0</v>
      </c>
      <c r="AG310" s="322"/>
      <c r="AH310" s="90">
        <f t="shared" si="91"/>
        <v>0</v>
      </c>
      <c r="AI310" s="80">
        <f t="shared" si="92"/>
        <v>0</v>
      </c>
      <c r="AJ310" s="638">
        <f t="shared" si="101"/>
        <v>0</v>
      </c>
      <c r="AK310" s="322"/>
      <c r="AL310" s="80">
        <f t="shared" si="93"/>
        <v>0</v>
      </c>
      <c r="AM310" s="79"/>
      <c r="AN310" s="322"/>
      <c r="AO310" s="79">
        <v>3013</v>
      </c>
      <c r="AP310" s="322">
        <v>2604</v>
      </c>
      <c r="AQ310" s="79">
        <v>2131</v>
      </c>
      <c r="AR310" s="322">
        <v>1536</v>
      </c>
      <c r="AS310" s="79">
        <v>2705</v>
      </c>
      <c r="AT310" s="322">
        <v>2613</v>
      </c>
      <c r="AU310" s="325">
        <f t="shared" si="94"/>
        <v>7849</v>
      </c>
      <c r="AV310" s="90">
        <f t="shared" si="104"/>
        <v>327.04166666666669</v>
      </c>
      <c r="AW310" s="324">
        <f t="shared" si="95"/>
        <v>6753</v>
      </c>
      <c r="AX310" s="80">
        <f t="shared" si="105"/>
        <v>281.375</v>
      </c>
      <c r="AY310" s="326">
        <f t="shared" si="96"/>
        <v>2860.1749999999997</v>
      </c>
      <c r="AZ310" s="80">
        <f t="shared" si="97"/>
        <v>2628.5083333333332</v>
      </c>
    </row>
    <row r="311" spans="1:52" s="415" customFormat="1">
      <c r="A311" s="179" t="s">
        <v>703</v>
      </c>
      <c r="B311" s="180" t="s">
        <v>51</v>
      </c>
      <c r="C311" s="342">
        <v>175786</v>
      </c>
      <c r="D311" s="181">
        <v>8</v>
      </c>
      <c r="E311" s="162" t="s">
        <v>442</v>
      </c>
      <c r="F311" s="163" t="s">
        <v>442</v>
      </c>
      <c r="G311" s="79"/>
      <c r="H311" s="322"/>
      <c r="I311" s="79">
        <v>106638</v>
      </c>
      <c r="J311" s="322">
        <v>106140</v>
      </c>
      <c r="K311" s="79">
        <v>21543</v>
      </c>
      <c r="L311" s="322">
        <v>20865</v>
      </c>
      <c r="M311" s="79">
        <v>120442</v>
      </c>
      <c r="N311" s="322">
        <v>125632</v>
      </c>
      <c r="O311" s="323">
        <f t="shared" si="88"/>
        <v>248623</v>
      </c>
      <c r="P311" s="638">
        <f t="shared" si="98"/>
        <v>0</v>
      </c>
      <c r="Q311" s="639" t="s">
        <v>949</v>
      </c>
      <c r="R311" s="90">
        <f t="shared" si="102"/>
        <v>8287.4333333333325</v>
      </c>
      <c r="S311" s="324">
        <f t="shared" si="89"/>
        <v>252637</v>
      </c>
      <c r="T311" s="638">
        <f t="shared" si="99"/>
        <v>252637</v>
      </c>
      <c r="U311" s="550">
        <v>1757</v>
      </c>
      <c r="V311" s="80">
        <f t="shared" si="103"/>
        <v>8421.2333333333336</v>
      </c>
      <c r="W311" s="79"/>
      <c r="X311" s="322"/>
      <c r="Y311" s="79"/>
      <c r="Z311" s="322"/>
      <c r="AA311" s="79"/>
      <c r="AB311" s="322"/>
      <c r="AC311" s="79"/>
      <c r="AD311" s="322"/>
      <c r="AE311" s="323">
        <f t="shared" si="90"/>
        <v>0</v>
      </c>
      <c r="AF311" s="638">
        <f t="shared" si="100"/>
        <v>0</v>
      </c>
      <c r="AG311" s="322"/>
      <c r="AH311" s="90">
        <f t="shared" si="91"/>
        <v>0</v>
      </c>
      <c r="AI311" s="80">
        <f t="shared" si="92"/>
        <v>0</v>
      </c>
      <c r="AJ311" s="638">
        <f t="shared" si="101"/>
        <v>0</v>
      </c>
      <c r="AK311" s="322"/>
      <c r="AL311" s="80">
        <f t="shared" si="93"/>
        <v>0</v>
      </c>
      <c r="AM311" s="79"/>
      <c r="AN311" s="322"/>
      <c r="AO311" s="79"/>
      <c r="AP311" s="322"/>
      <c r="AQ311" s="79"/>
      <c r="AR311" s="322"/>
      <c r="AS311" s="79"/>
      <c r="AT311" s="322"/>
      <c r="AU311" s="325">
        <f t="shared" si="94"/>
        <v>0</v>
      </c>
      <c r="AV311" s="90">
        <f t="shared" si="104"/>
        <v>0</v>
      </c>
      <c r="AW311" s="324">
        <f t="shared" si="95"/>
        <v>0</v>
      </c>
      <c r="AX311" s="80">
        <f t="shared" si="105"/>
        <v>0</v>
      </c>
      <c r="AY311" s="326">
        <f t="shared" si="96"/>
        <v>8287.4333333333325</v>
      </c>
      <c r="AZ311" s="80">
        <f t="shared" si="97"/>
        <v>8421.2333333333336</v>
      </c>
    </row>
    <row r="312" spans="1:52" s="415" customFormat="1">
      <c r="A312" s="179" t="s">
        <v>703</v>
      </c>
      <c r="B312" s="179" t="s">
        <v>52</v>
      </c>
      <c r="C312" s="342">
        <v>176071</v>
      </c>
      <c r="D312" s="181">
        <v>8</v>
      </c>
      <c r="E312" s="162" t="s">
        <v>442</v>
      </c>
      <c r="F312" s="163" t="s">
        <v>442</v>
      </c>
      <c r="G312" s="79"/>
      <c r="H312" s="322"/>
      <c r="I312" s="79">
        <v>87215</v>
      </c>
      <c r="J312" s="322">
        <v>91265</v>
      </c>
      <c r="K312" s="79">
        <v>21688</v>
      </c>
      <c r="L312" s="322">
        <v>23590</v>
      </c>
      <c r="M312" s="79">
        <v>98842</v>
      </c>
      <c r="N312" s="322">
        <v>102962</v>
      </c>
      <c r="O312" s="323">
        <f t="shared" si="88"/>
        <v>207745</v>
      </c>
      <c r="P312" s="638">
        <f t="shared" si="98"/>
        <v>0</v>
      </c>
      <c r="Q312" s="639" t="s">
        <v>949</v>
      </c>
      <c r="R312" s="90">
        <f t="shared" si="102"/>
        <v>6924.833333333333</v>
      </c>
      <c r="S312" s="324">
        <f t="shared" si="89"/>
        <v>217817</v>
      </c>
      <c r="T312" s="638">
        <f t="shared" si="99"/>
        <v>217817</v>
      </c>
      <c r="U312" s="550">
        <v>2179</v>
      </c>
      <c r="V312" s="80">
        <f t="shared" si="103"/>
        <v>7260.5666666666666</v>
      </c>
      <c r="W312" s="79"/>
      <c r="X312" s="322"/>
      <c r="Y312" s="79"/>
      <c r="Z312" s="322"/>
      <c r="AA312" s="79"/>
      <c r="AB312" s="322"/>
      <c r="AC312" s="79"/>
      <c r="AD312" s="322"/>
      <c r="AE312" s="323">
        <f t="shared" si="90"/>
        <v>0</v>
      </c>
      <c r="AF312" s="638">
        <f t="shared" si="100"/>
        <v>0</v>
      </c>
      <c r="AG312" s="322"/>
      <c r="AH312" s="90">
        <f t="shared" si="91"/>
        <v>0</v>
      </c>
      <c r="AI312" s="80">
        <f t="shared" si="92"/>
        <v>0</v>
      </c>
      <c r="AJ312" s="638">
        <f t="shared" si="101"/>
        <v>0</v>
      </c>
      <c r="AK312" s="322"/>
      <c r="AL312" s="80">
        <f t="shared" si="93"/>
        <v>0</v>
      </c>
      <c r="AM312" s="79"/>
      <c r="AN312" s="322"/>
      <c r="AO312" s="79"/>
      <c r="AP312" s="322"/>
      <c r="AQ312" s="79"/>
      <c r="AR312" s="322"/>
      <c r="AS312" s="79"/>
      <c r="AT312" s="322"/>
      <c r="AU312" s="325">
        <f t="shared" si="94"/>
        <v>0</v>
      </c>
      <c r="AV312" s="90">
        <f t="shared" si="104"/>
        <v>0</v>
      </c>
      <c r="AW312" s="324">
        <f t="shared" si="95"/>
        <v>0</v>
      </c>
      <c r="AX312" s="80">
        <f t="shared" si="105"/>
        <v>0</v>
      </c>
      <c r="AY312" s="326">
        <f t="shared" si="96"/>
        <v>6924.833333333333</v>
      </c>
      <c r="AZ312" s="80">
        <f t="shared" si="97"/>
        <v>7260.5666666666666</v>
      </c>
    </row>
    <row r="313" spans="1:52" s="415" customFormat="1">
      <c r="A313" s="179" t="s">
        <v>703</v>
      </c>
      <c r="B313" s="179" t="s">
        <v>53</v>
      </c>
      <c r="C313" s="342">
        <v>176178</v>
      </c>
      <c r="D313" s="181">
        <v>8</v>
      </c>
      <c r="E313" s="162" t="s">
        <v>442</v>
      </c>
      <c r="F313" s="163" t="s">
        <v>442</v>
      </c>
      <c r="G313" s="79"/>
      <c r="H313" s="322"/>
      <c r="I313" s="79">
        <v>67560</v>
      </c>
      <c r="J313" s="322">
        <v>72133</v>
      </c>
      <c r="K313" s="79">
        <v>12648</v>
      </c>
      <c r="L313" s="322">
        <v>14665</v>
      </c>
      <c r="M313" s="79">
        <v>77809</v>
      </c>
      <c r="N313" s="322">
        <v>83032</v>
      </c>
      <c r="O313" s="323">
        <f t="shared" si="88"/>
        <v>158017</v>
      </c>
      <c r="P313" s="638">
        <f t="shared" si="98"/>
        <v>0</v>
      </c>
      <c r="Q313" s="639" t="s">
        <v>949</v>
      </c>
      <c r="R313" s="90">
        <f t="shared" si="102"/>
        <v>5267.2333333333336</v>
      </c>
      <c r="S313" s="324">
        <f t="shared" si="89"/>
        <v>169830</v>
      </c>
      <c r="T313" s="638">
        <f t="shared" si="99"/>
        <v>169830</v>
      </c>
      <c r="U313" s="550">
        <v>1179</v>
      </c>
      <c r="V313" s="80">
        <f t="shared" si="103"/>
        <v>5661</v>
      </c>
      <c r="W313" s="79"/>
      <c r="X313" s="322"/>
      <c r="Y313" s="79"/>
      <c r="Z313" s="322"/>
      <c r="AA313" s="79"/>
      <c r="AB313" s="322"/>
      <c r="AC313" s="79"/>
      <c r="AD313" s="322"/>
      <c r="AE313" s="323">
        <f t="shared" si="90"/>
        <v>0</v>
      </c>
      <c r="AF313" s="638">
        <f t="shared" si="100"/>
        <v>0</v>
      </c>
      <c r="AG313" s="322"/>
      <c r="AH313" s="90">
        <f t="shared" si="91"/>
        <v>0</v>
      </c>
      <c r="AI313" s="80">
        <f t="shared" si="92"/>
        <v>0</v>
      </c>
      <c r="AJ313" s="638">
        <f t="shared" si="101"/>
        <v>0</v>
      </c>
      <c r="AK313" s="322"/>
      <c r="AL313" s="80">
        <f t="shared" si="93"/>
        <v>0</v>
      </c>
      <c r="AM313" s="79"/>
      <c r="AN313" s="322"/>
      <c r="AO313" s="79"/>
      <c r="AP313" s="322"/>
      <c r="AQ313" s="79"/>
      <c r="AR313" s="322"/>
      <c r="AS313" s="79"/>
      <c r="AT313" s="322"/>
      <c r="AU313" s="325">
        <f t="shared" si="94"/>
        <v>0</v>
      </c>
      <c r="AV313" s="90">
        <f t="shared" si="104"/>
        <v>0</v>
      </c>
      <c r="AW313" s="324">
        <f t="shared" si="95"/>
        <v>0</v>
      </c>
      <c r="AX313" s="80">
        <f t="shared" si="105"/>
        <v>0</v>
      </c>
      <c r="AY313" s="326">
        <f t="shared" si="96"/>
        <v>5267.2333333333336</v>
      </c>
      <c r="AZ313" s="80">
        <f t="shared" si="97"/>
        <v>5661</v>
      </c>
    </row>
    <row r="314" spans="1:52" s="415" customFormat="1">
      <c r="A314" s="179" t="s">
        <v>703</v>
      </c>
      <c r="B314" s="180" t="s">
        <v>54</v>
      </c>
      <c r="C314" s="342">
        <v>175573</v>
      </c>
      <c r="D314" s="181">
        <v>9</v>
      </c>
      <c r="E314" s="162" t="s">
        <v>442</v>
      </c>
      <c r="F314" s="163" t="s">
        <v>442</v>
      </c>
      <c r="G314" s="79"/>
      <c r="H314" s="322"/>
      <c r="I314" s="79">
        <v>37674</v>
      </c>
      <c r="J314" s="322">
        <v>38010</v>
      </c>
      <c r="K314" s="79">
        <v>6052</v>
      </c>
      <c r="L314" s="322">
        <v>6345</v>
      </c>
      <c r="M314" s="79">
        <v>41675</v>
      </c>
      <c r="N314" s="322">
        <v>41550</v>
      </c>
      <c r="O314" s="323">
        <f t="shared" si="88"/>
        <v>85401</v>
      </c>
      <c r="P314" s="638">
        <f t="shared" si="98"/>
        <v>0</v>
      </c>
      <c r="Q314" s="639" t="s">
        <v>949</v>
      </c>
      <c r="R314" s="90">
        <f t="shared" si="102"/>
        <v>2846.7</v>
      </c>
      <c r="S314" s="324">
        <f t="shared" si="89"/>
        <v>85905</v>
      </c>
      <c r="T314" s="638">
        <f t="shared" si="99"/>
        <v>85905</v>
      </c>
      <c r="U314" s="550">
        <v>1601</v>
      </c>
      <c r="V314" s="80">
        <f t="shared" si="103"/>
        <v>2863.5</v>
      </c>
      <c r="W314" s="79"/>
      <c r="X314" s="322"/>
      <c r="Y314" s="79"/>
      <c r="Z314" s="322"/>
      <c r="AA314" s="79"/>
      <c r="AB314" s="322"/>
      <c r="AC314" s="79"/>
      <c r="AD314" s="322"/>
      <c r="AE314" s="323">
        <f t="shared" si="90"/>
        <v>0</v>
      </c>
      <c r="AF314" s="638">
        <f t="shared" si="100"/>
        <v>0</v>
      </c>
      <c r="AG314" s="322"/>
      <c r="AH314" s="90">
        <f t="shared" si="91"/>
        <v>0</v>
      </c>
      <c r="AI314" s="80">
        <f t="shared" si="92"/>
        <v>0</v>
      </c>
      <c r="AJ314" s="638">
        <f t="shared" si="101"/>
        <v>0</v>
      </c>
      <c r="AK314" s="322"/>
      <c r="AL314" s="80">
        <f t="shared" si="93"/>
        <v>0</v>
      </c>
      <c r="AM314" s="79"/>
      <c r="AN314" s="322"/>
      <c r="AO314" s="79"/>
      <c r="AP314" s="322"/>
      <c r="AQ314" s="79"/>
      <c r="AR314" s="322"/>
      <c r="AS314" s="79"/>
      <c r="AT314" s="322"/>
      <c r="AU314" s="325">
        <f t="shared" si="94"/>
        <v>0</v>
      </c>
      <c r="AV314" s="90">
        <f t="shared" si="104"/>
        <v>0</v>
      </c>
      <c r="AW314" s="324">
        <f t="shared" si="95"/>
        <v>0</v>
      </c>
      <c r="AX314" s="80">
        <f t="shared" si="105"/>
        <v>0</v>
      </c>
      <c r="AY314" s="326">
        <f t="shared" si="96"/>
        <v>2846.7</v>
      </c>
      <c r="AZ314" s="80">
        <f t="shared" si="97"/>
        <v>2863.5</v>
      </c>
    </row>
    <row r="315" spans="1:52" s="415" customFormat="1">
      <c r="A315" s="179" t="s">
        <v>703</v>
      </c>
      <c r="B315" s="180" t="s">
        <v>55</v>
      </c>
      <c r="C315" s="343">
        <v>175643</v>
      </c>
      <c r="D315" s="361">
        <v>9</v>
      </c>
      <c r="E315" s="162" t="s">
        <v>442</v>
      </c>
      <c r="F315" s="163" t="s">
        <v>442</v>
      </c>
      <c r="G315" s="79"/>
      <c r="H315" s="322"/>
      <c r="I315" s="79">
        <v>25675</v>
      </c>
      <c r="J315" s="322">
        <v>26910</v>
      </c>
      <c r="K315" s="79">
        <v>4889</v>
      </c>
      <c r="L315" s="322">
        <v>5223</v>
      </c>
      <c r="M315" s="79">
        <v>29308</v>
      </c>
      <c r="N315" s="322">
        <v>30342</v>
      </c>
      <c r="O315" s="323">
        <f t="shared" si="88"/>
        <v>59872</v>
      </c>
      <c r="P315" s="638">
        <f t="shared" si="98"/>
        <v>0</v>
      </c>
      <c r="Q315" s="639" t="s">
        <v>949</v>
      </c>
      <c r="R315" s="90">
        <f t="shared" si="102"/>
        <v>1995.7333333333333</v>
      </c>
      <c r="S315" s="324">
        <f t="shared" si="89"/>
        <v>62475</v>
      </c>
      <c r="T315" s="638">
        <f t="shared" si="99"/>
        <v>62475</v>
      </c>
      <c r="U315" s="550">
        <v>374</v>
      </c>
      <c r="V315" s="80">
        <f t="shared" si="103"/>
        <v>2082.5</v>
      </c>
      <c r="W315" s="79"/>
      <c r="X315" s="322"/>
      <c r="Y315" s="79"/>
      <c r="Z315" s="322"/>
      <c r="AA315" s="79"/>
      <c r="AB315" s="322"/>
      <c r="AC315" s="79"/>
      <c r="AD315" s="322"/>
      <c r="AE315" s="323">
        <f t="shared" si="90"/>
        <v>0</v>
      </c>
      <c r="AF315" s="638">
        <f t="shared" si="100"/>
        <v>0</v>
      </c>
      <c r="AG315" s="322"/>
      <c r="AH315" s="90">
        <f t="shared" si="91"/>
        <v>0</v>
      </c>
      <c r="AI315" s="80">
        <f t="shared" si="92"/>
        <v>0</v>
      </c>
      <c r="AJ315" s="638">
        <f t="shared" si="101"/>
        <v>0</v>
      </c>
      <c r="AK315" s="322"/>
      <c r="AL315" s="80">
        <f t="shared" si="93"/>
        <v>0</v>
      </c>
      <c r="AM315" s="79"/>
      <c r="AN315" s="322"/>
      <c r="AO315" s="79"/>
      <c r="AP315" s="322"/>
      <c r="AQ315" s="79"/>
      <c r="AR315" s="322"/>
      <c r="AS315" s="79"/>
      <c r="AT315" s="322"/>
      <c r="AU315" s="325">
        <f t="shared" si="94"/>
        <v>0</v>
      </c>
      <c r="AV315" s="90">
        <f t="shared" si="104"/>
        <v>0</v>
      </c>
      <c r="AW315" s="324">
        <f t="shared" si="95"/>
        <v>0</v>
      </c>
      <c r="AX315" s="80">
        <f t="shared" si="105"/>
        <v>0</v>
      </c>
      <c r="AY315" s="326">
        <f t="shared" si="96"/>
        <v>1995.7333333333333</v>
      </c>
      <c r="AZ315" s="80">
        <f t="shared" si="97"/>
        <v>2082.5</v>
      </c>
    </row>
    <row r="316" spans="1:52" s="415" customFormat="1">
      <c r="A316" s="179" t="s">
        <v>703</v>
      </c>
      <c r="B316" s="180" t="s">
        <v>56</v>
      </c>
      <c r="C316" s="343">
        <v>175652</v>
      </c>
      <c r="D316" s="361">
        <v>9</v>
      </c>
      <c r="E316" s="162" t="s">
        <v>442</v>
      </c>
      <c r="F316" s="163" t="s">
        <v>442</v>
      </c>
      <c r="G316" s="79"/>
      <c r="H316" s="322"/>
      <c r="I316" s="79">
        <v>41466</v>
      </c>
      <c r="J316" s="322">
        <v>42674</v>
      </c>
      <c r="K316" s="79">
        <v>11963</v>
      </c>
      <c r="L316" s="322">
        <v>11498</v>
      </c>
      <c r="M316" s="79">
        <v>45437</v>
      </c>
      <c r="N316" s="322">
        <v>48077</v>
      </c>
      <c r="O316" s="323">
        <f t="shared" si="88"/>
        <v>98866</v>
      </c>
      <c r="P316" s="638">
        <f t="shared" si="98"/>
        <v>0</v>
      </c>
      <c r="Q316" s="639" t="s">
        <v>949</v>
      </c>
      <c r="R316" s="90">
        <f t="shared" si="102"/>
        <v>3295.5333333333333</v>
      </c>
      <c r="S316" s="324">
        <f t="shared" si="89"/>
        <v>102249</v>
      </c>
      <c r="T316" s="638">
        <f t="shared" si="99"/>
        <v>102249</v>
      </c>
      <c r="U316" s="550">
        <v>20</v>
      </c>
      <c r="V316" s="80">
        <f t="shared" si="103"/>
        <v>3408.3</v>
      </c>
      <c r="W316" s="79"/>
      <c r="X316" s="322"/>
      <c r="Y316" s="79"/>
      <c r="Z316" s="322"/>
      <c r="AA316" s="79"/>
      <c r="AB316" s="322"/>
      <c r="AC316" s="79"/>
      <c r="AD316" s="322"/>
      <c r="AE316" s="323">
        <f t="shared" si="90"/>
        <v>0</v>
      </c>
      <c r="AF316" s="638">
        <f t="shared" si="100"/>
        <v>0</v>
      </c>
      <c r="AG316" s="322"/>
      <c r="AH316" s="90">
        <f t="shared" si="91"/>
        <v>0</v>
      </c>
      <c r="AI316" s="80">
        <f t="shared" si="92"/>
        <v>0</v>
      </c>
      <c r="AJ316" s="638">
        <f t="shared" si="101"/>
        <v>0</v>
      </c>
      <c r="AK316" s="322"/>
      <c r="AL316" s="80">
        <f t="shared" si="93"/>
        <v>0</v>
      </c>
      <c r="AM316" s="79"/>
      <c r="AN316" s="322"/>
      <c r="AO316" s="79"/>
      <c r="AP316" s="322"/>
      <c r="AQ316" s="79"/>
      <c r="AR316" s="322"/>
      <c r="AS316" s="79"/>
      <c r="AT316" s="322"/>
      <c r="AU316" s="325">
        <f t="shared" si="94"/>
        <v>0</v>
      </c>
      <c r="AV316" s="90">
        <f t="shared" si="104"/>
        <v>0</v>
      </c>
      <c r="AW316" s="324">
        <f t="shared" si="95"/>
        <v>0</v>
      </c>
      <c r="AX316" s="80">
        <f t="shared" si="105"/>
        <v>0</v>
      </c>
      <c r="AY316" s="326">
        <f t="shared" si="96"/>
        <v>3295.5333333333333</v>
      </c>
      <c r="AZ316" s="80">
        <f t="shared" si="97"/>
        <v>3408.3</v>
      </c>
    </row>
    <row r="317" spans="1:52" s="415" customFormat="1">
      <c r="A317" s="179" t="s">
        <v>703</v>
      </c>
      <c r="B317" s="179" t="s">
        <v>57</v>
      </c>
      <c r="C317" s="342">
        <v>175810</v>
      </c>
      <c r="D317" s="181">
        <v>9</v>
      </c>
      <c r="E317" s="162" t="s">
        <v>442</v>
      </c>
      <c r="F317" s="163" t="s">
        <v>442</v>
      </c>
      <c r="G317" s="79"/>
      <c r="H317" s="322"/>
      <c r="I317" s="79">
        <v>54373</v>
      </c>
      <c r="J317" s="322">
        <v>51538</v>
      </c>
      <c r="K317" s="79">
        <v>15274</v>
      </c>
      <c r="L317" s="322">
        <v>14496</v>
      </c>
      <c r="M317" s="79">
        <v>59848</v>
      </c>
      <c r="N317" s="322">
        <v>59537</v>
      </c>
      <c r="O317" s="323">
        <f t="shared" si="88"/>
        <v>129495</v>
      </c>
      <c r="P317" s="638">
        <f t="shared" si="98"/>
        <v>0</v>
      </c>
      <c r="Q317" s="639" t="s">
        <v>949</v>
      </c>
      <c r="R317" s="90">
        <f t="shared" si="102"/>
        <v>4316.5</v>
      </c>
      <c r="S317" s="324">
        <f t="shared" si="89"/>
        <v>125571</v>
      </c>
      <c r="T317" s="638">
        <f t="shared" si="99"/>
        <v>125571</v>
      </c>
      <c r="U317" s="550">
        <v>870</v>
      </c>
      <c r="V317" s="80">
        <f t="shared" si="103"/>
        <v>4185.7</v>
      </c>
      <c r="W317" s="79"/>
      <c r="X317" s="322"/>
      <c r="Y317" s="79"/>
      <c r="Z317" s="322"/>
      <c r="AA317" s="79"/>
      <c r="AB317" s="322"/>
      <c r="AC317" s="79"/>
      <c r="AD317" s="322"/>
      <c r="AE317" s="323">
        <f t="shared" si="90"/>
        <v>0</v>
      </c>
      <c r="AF317" s="638">
        <f t="shared" si="100"/>
        <v>0</v>
      </c>
      <c r="AG317" s="322"/>
      <c r="AH317" s="90">
        <f t="shared" si="91"/>
        <v>0</v>
      </c>
      <c r="AI317" s="80">
        <f t="shared" si="92"/>
        <v>0</v>
      </c>
      <c r="AJ317" s="638">
        <f t="shared" si="101"/>
        <v>0</v>
      </c>
      <c r="AK317" s="322"/>
      <c r="AL317" s="80">
        <f t="shared" si="93"/>
        <v>0</v>
      </c>
      <c r="AM317" s="79"/>
      <c r="AN317" s="322"/>
      <c r="AO317" s="79"/>
      <c r="AP317" s="322"/>
      <c r="AQ317" s="79"/>
      <c r="AR317" s="322"/>
      <c r="AS317" s="79"/>
      <c r="AT317" s="322"/>
      <c r="AU317" s="325">
        <f t="shared" si="94"/>
        <v>0</v>
      </c>
      <c r="AV317" s="90">
        <f t="shared" si="104"/>
        <v>0</v>
      </c>
      <c r="AW317" s="324">
        <f t="shared" si="95"/>
        <v>0</v>
      </c>
      <c r="AX317" s="80">
        <f t="shared" si="105"/>
        <v>0</v>
      </c>
      <c r="AY317" s="326">
        <f t="shared" si="96"/>
        <v>4316.5</v>
      </c>
      <c r="AZ317" s="80">
        <f t="shared" si="97"/>
        <v>4185.7</v>
      </c>
    </row>
    <row r="318" spans="1:52" s="415" customFormat="1">
      <c r="A318" s="179" t="s">
        <v>703</v>
      </c>
      <c r="B318" s="179" t="s">
        <v>58</v>
      </c>
      <c r="C318" s="342">
        <v>175829</v>
      </c>
      <c r="D318" s="181">
        <v>9</v>
      </c>
      <c r="E318" s="162" t="s">
        <v>442</v>
      </c>
      <c r="F318" s="163" t="s">
        <v>442</v>
      </c>
      <c r="G318" s="79"/>
      <c r="H318" s="322"/>
      <c r="I318" s="79">
        <v>60954</v>
      </c>
      <c r="J318" s="322">
        <v>71257</v>
      </c>
      <c r="K318" s="79">
        <v>12290</v>
      </c>
      <c r="L318" s="322">
        <v>14468</v>
      </c>
      <c r="M318" s="79">
        <v>71337</v>
      </c>
      <c r="N318" s="322">
        <v>85619</v>
      </c>
      <c r="O318" s="323">
        <f t="shared" si="88"/>
        <v>144581</v>
      </c>
      <c r="P318" s="638">
        <f t="shared" si="98"/>
        <v>0</v>
      </c>
      <c r="Q318" s="639" t="s">
        <v>949</v>
      </c>
      <c r="R318" s="90">
        <f t="shared" si="102"/>
        <v>4819.3666666666668</v>
      </c>
      <c r="S318" s="324">
        <f t="shared" si="89"/>
        <v>171344</v>
      </c>
      <c r="T318" s="638">
        <f t="shared" si="99"/>
        <v>171344</v>
      </c>
      <c r="U318" s="550">
        <v>701</v>
      </c>
      <c r="V318" s="80">
        <f t="shared" si="103"/>
        <v>5711.4666666666662</v>
      </c>
      <c r="W318" s="79"/>
      <c r="X318" s="322"/>
      <c r="Y318" s="79"/>
      <c r="Z318" s="322"/>
      <c r="AA318" s="79"/>
      <c r="AB318" s="322"/>
      <c r="AC318" s="79"/>
      <c r="AD318" s="322"/>
      <c r="AE318" s="323">
        <f t="shared" si="90"/>
        <v>0</v>
      </c>
      <c r="AF318" s="638">
        <f t="shared" si="100"/>
        <v>0</v>
      </c>
      <c r="AG318" s="322"/>
      <c r="AH318" s="90">
        <f t="shared" si="91"/>
        <v>0</v>
      </c>
      <c r="AI318" s="80">
        <f t="shared" si="92"/>
        <v>0</v>
      </c>
      <c r="AJ318" s="638">
        <f t="shared" si="101"/>
        <v>0</v>
      </c>
      <c r="AK318" s="322"/>
      <c r="AL318" s="80">
        <f t="shared" si="93"/>
        <v>0</v>
      </c>
      <c r="AM318" s="79"/>
      <c r="AN318" s="322"/>
      <c r="AO318" s="79"/>
      <c r="AP318" s="322"/>
      <c r="AQ318" s="79"/>
      <c r="AR318" s="322"/>
      <c r="AS318" s="79"/>
      <c r="AT318" s="322"/>
      <c r="AU318" s="325">
        <f t="shared" si="94"/>
        <v>0</v>
      </c>
      <c r="AV318" s="90">
        <f t="shared" si="104"/>
        <v>0</v>
      </c>
      <c r="AW318" s="324">
        <f t="shared" si="95"/>
        <v>0</v>
      </c>
      <c r="AX318" s="80">
        <f t="shared" si="105"/>
        <v>0</v>
      </c>
      <c r="AY318" s="326">
        <f t="shared" si="96"/>
        <v>4819.3666666666668</v>
      </c>
      <c r="AZ318" s="80">
        <f t="shared" si="97"/>
        <v>5711.4666666666662</v>
      </c>
    </row>
    <row r="319" spans="1:52" s="415" customFormat="1">
      <c r="A319" s="179" t="s">
        <v>703</v>
      </c>
      <c r="B319" s="179" t="s">
        <v>59</v>
      </c>
      <c r="C319" s="342">
        <v>175883</v>
      </c>
      <c r="D319" s="181">
        <v>9</v>
      </c>
      <c r="E319" s="162" t="s">
        <v>442</v>
      </c>
      <c r="F319" s="163" t="s">
        <v>442</v>
      </c>
      <c r="G319" s="79"/>
      <c r="H319" s="322"/>
      <c r="I319" s="79">
        <v>50744</v>
      </c>
      <c r="J319" s="322">
        <v>51229</v>
      </c>
      <c r="K319" s="79">
        <v>12504</v>
      </c>
      <c r="L319" s="322">
        <v>13668</v>
      </c>
      <c r="M319" s="79">
        <v>58895</v>
      </c>
      <c r="N319" s="322">
        <v>61015</v>
      </c>
      <c r="O319" s="323">
        <f t="shared" si="88"/>
        <v>122143</v>
      </c>
      <c r="P319" s="638">
        <f t="shared" si="98"/>
        <v>0</v>
      </c>
      <c r="Q319" s="639" t="s">
        <v>949</v>
      </c>
      <c r="R319" s="90">
        <f t="shared" si="102"/>
        <v>4071.4333333333334</v>
      </c>
      <c r="S319" s="324">
        <f t="shared" si="89"/>
        <v>125912</v>
      </c>
      <c r="T319" s="638">
        <f t="shared" si="99"/>
        <v>125912</v>
      </c>
      <c r="U319" s="550">
        <v>1251</v>
      </c>
      <c r="V319" s="80">
        <f t="shared" si="103"/>
        <v>4197.0666666666666</v>
      </c>
      <c r="W319" s="79"/>
      <c r="X319" s="322"/>
      <c r="Y319" s="79"/>
      <c r="Z319" s="322"/>
      <c r="AA319" s="79"/>
      <c r="AB319" s="322"/>
      <c r="AC319" s="79"/>
      <c r="AD319" s="322"/>
      <c r="AE319" s="323">
        <f t="shared" si="90"/>
        <v>0</v>
      </c>
      <c r="AF319" s="638">
        <f t="shared" si="100"/>
        <v>0</v>
      </c>
      <c r="AG319" s="322"/>
      <c r="AH319" s="90">
        <f t="shared" si="91"/>
        <v>0</v>
      </c>
      <c r="AI319" s="80">
        <f t="shared" si="92"/>
        <v>0</v>
      </c>
      <c r="AJ319" s="638">
        <f t="shared" si="101"/>
        <v>0</v>
      </c>
      <c r="AK319" s="322"/>
      <c r="AL319" s="80">
        <f t="shared" si="93"/>
        <v>0</v>
      </c>
      <c r="AM319" s="79"/>
      <c r="AN319" s="322"/>
      <c r="AO319" s="79"/>
      <c r="AP319" s="322"/>
      <c r="AQ319" s="79"/>
      <c r="AR319" s="322"/>
      <c r="AS319" s="79"/>
      <c r="AT319" s="322"/>
      <c r="AU319" s="325">
        <f t="shared" si="94"/>
        <v>0</v>
      </c>
      <c r="AV319" s="90">
        <f t="shared" si="104"/>
        <v>0</v>
      </c>
      <c r="AW319" s="324">
        <f t="shared" si="95"/>
        <v>0</v>
      </c>
      <c r="AX319" s="80">
        <f t="shared" si="105"/>
        <v>0</v>
      </c>
      <c r="AY319" s="326">
        <f t="shared" si="96"/>
        <v>4071.4333333333334</v>
      </c>
      <c r="AZ319" s="80">
        <f t="shared" si="97"/>
        <v>4197.0666666666666</v>
      </c>
    </row>
    <row r="320" spans="1:52" s="415" customFormat="1">
      <c r="A320" s="179" t="s">
        <v>703</v>
      </c>
      <c r="B320" s="179" t="s">
        <v>60</v>
      </c>
      <c r="C320" s="342">
        <v>175935</v>
      </c>
      <c r="D320" s="181">
        <v>9</v>
      </c>
      <c r="E320" s="162" t="s">
        <v>442</v>
      </c>
      <c r="F320" s="163" t="s">
        <v>442</v>
      </c>
      <c r="G320" s="79"/>
      <c r="H320" s="322"/>
      <c r="I320" s="79">
        <v>37664</v>
      </c>
      <c r="J320" s="322">
        <v>37498</v>
      </c>
      <c r="K320" s="79">
        <v>6313</v>
      </c>
      <c r="L320" s="322">
        <v>6899</v>
      </c>
      <c r="M320" s="79">
        <v>42495</v>
      </c>
      <c r="N320" s="322">
        <v>44458</v>
      </c>
      <c r="O320" s="323">
        <f t="shared" si="88"/>
        <v>86472</v>
      </c>
      <c r="P320" s="638">
        <f t="shared" si="98"/>
        <v>0</v>
      </c>
      <c r="Q320" s="639" t="s">
        <v>949</v>
      </c>
      <c r="R320" s="90">
        <f t="shared" si="102"/>
        <v>2882.4</v>
      </c>
      <c r="S320" s="324">
        <f t="shared" si="89"/>
        <v>88855</v>
      </c>
      <c r="T320" s="638">
        <f t="shared" si="99"/>
        <v>88855</v>
      </c>
      <c r="U320" s="550">
        <v>528</v>
      </c>
      <c r="V320" s="80">
        <f t="shared" si="103"/>
        <v>2961.8333333333335</v>
      </c>
      <c r="W320" s="79"/>
      <c r="X320" s="322"/>
      <c r="Y320" s="79"/>
      <c r="Z320" s="322"/>
      <c r="AA320" s="79"/>
      <c r="AB320" s="322"/>
      <c r="AC320" s="79"/>
      <c r="AD320" s="322"/>
      <c r="AE320" s="323">
        <f t="shared" si="90"/>
        <v>0</v>
      </c>
      <c r="AF320" s="638">
        <f t="shared" si="100"/>
        <v>0</v>
      </c>
      <c r="AG320" s="322"/>
      <c r="AH320" s="90">
        <f t="shared" si="91"/>
        <v>0</v>
      </c>
      <c r="AI320" s="80">
        <f t="shared" si="92"/>
        <v>0</v>
      </c>
      <c r="AJ320" s="638">
        <f t="shared" si="101"/>
        <v>0</v>
      </c>
      <c r="AK320" s="322"/>
      <c r="AL320" s="80">
        <f t="shared" si="93"/>
        <v>0</v>
      </c>
      <c r="AM320" s="79"/>
      <c r="AN320" s="322"/>
      <c r="AO320" s="79"/>
      <c r="AP320" s="322"/>
      <c r="AQ320" s="79"/>
      <c r="AR320" s="322"/>
      <c r="AS320" s="79"/>
      <c r="AT320" s="322"/>
      <c r="AU320" s="325">
        <f t="shared" si="94"/>
        <v>0</v>
      </c>
      <c r="AV320" s="90">
        <f t="shared" si="104"/>
        <v>0</v>
      </c>
      <c r="AW320" s="324">
        <f t="shared" si="95"/>
        <v>0</v>
      </c>
      <c r="AX320" s="80">
        <f t="shared" si="105"/>
        <v>0</v>
      </c>
      <c r="AY320" s="326">
        <f t="shared" si="96"/>
        <v>2882.4</v>
      </c>
      <c r="AZ320" s="80">
        <f t="shared" si="97"/>
        <v>2961.8333333333335</v>
      </c>
    </row>
    <row r="321" spans="1:52" s="415" customFormat="1">
      <c r="A321" s="179" t="s">
        <v>703</v>
      </c>
      <c r="B321" s="179" t="s">
        <v>61</v>
      </c>
      <c r="C321" s="342">
        <v>176008</v>
      </c>
      <c r="D321" s="181">
        <v>9</v>
      </c>
      <c r="E321" s="162" t="s">
        <v>442</v>
      </c>
      <c r="F321" s="163" t="s">
        <v>442</v>
      </c>
      <c r="G321" s="79"/>
      <c r="H321" s="322"/>
      <c r="I321" s="79">
        <v>31934</v>
      </c>
      <c r="J321" s="322">
        <v>32874</v>
      </c>
      <c r="K321" s="79">
        <v>4528</v>
      </c>
      <c r="L321" s="322">
        <v>4795</v>
      </c>
      <c r="M321" s="79">
        <v>35892</v>
      </c>
      <c r="N321" s="322">
        <v>37704</v>
      </c>
      <c r="O321" s="323">
        <f t="shared" si="88"/>
        <v>72354</v>
      </c>
      <c r="P321" s="638">
        <f t="shared" si="98"/>
        <v>0</v>
      </c>
      <c r="Q321" s="639" t="s">
        <v>949</v>
      </c>
      <c r="R321" s="90">
        <f t="shared" si="102"/>
        <v>2411.8000000000002</v>
      </c>
      <c r="S321" s="324">
        <f t="shared" si="89"/>
        <v>75373</v>
      </c>
      <c r="T321" s="638">
        <f t="shared" si="99"/>
        <v>75373</v>
      </c>
      <c r="U321" s="550">
        <v>1207</v>
      </c>
      <c r="V321" s="80">
        <f t="shared" si="103"/>
        <v>2512.4333333333334</v>
      </c>
      <c r="W321" s="79"/>
      <c r="X321" s="322"/>
      <c r="Y321" s="79"/>
      <c r="Z321" s="322"/>
      <c r="AA321" s="79"/>
      <c r="AB321" s="322"/>
      <c r="AC321" s="79"/>
      <c r="AD321" s="322"/>
      <c r="AE321" s="323">
        <f t="shared" si="90"/>
        <v>0</v>
      </c>
      <c r="AF321" s="638">
        <f t="shared" si="100"/>
        <v>0</v>
      </c>
      <c r="AG321" s="322"/>
      <c r="AH321" s="90">
        <f t="shared" si="91"/>
        <v>0</v>
      </c>
      <c r="AI321" s="80">
        <f t="shared" si="92"/>
        <v>0</v>
      </c>
      <c r="AJ321" s="638">
        <f t="shared" si="101"/>
        <v>0</v>
      </c>
      <c r="AK321" s="322"/>
      <c r="AL321" s="80">
        <f t="shared" si="93"/>
        <v>0</v>
      </c>
      <c r="AM321" s="79"/>
      <c r="AN321" s="322"/>
      <c r="AO321" s="79"/>
      <c r="AP321" s="322"/>
      <c r="AQ321" s="79"/>
      <c r="AR321" s="322"/>
      <c r="AS321" s="79"/>
      <c r="AT321" s="322"/>
      <c r="AU321" s="325">
        <f t="shared" si="94"/>
        <v>0</v>
      </c>
      <c r="AV321" s="90">
        <f t="shared" si="104"/>
        <v>0</v>
      </c>
      <c r="AW321" s="324">
        <f t="shared" si="95"/>
        <v>0</v>
      </c>
      <c r="AX321" s="80">
        <f t="shared" si="105"/>
        <v>0</v>
      </c>
      <c r="AY321" s="326">
        <f t="shared" si="96"/>
        <v>2411.8000000000002</v>
      </c>
      <c r="AZ321" s="80">
        <f t="shared" si="97"/>
        <v>2512.4333333333334</v>
      </c>
    </row>
    <row r="322" spans="1:52" s="415" customFormat="1">
      <c r="A322" s="179" t="s">
        <v>703</v>
      </c>
      <c r="B322" s="179" t="s">
        <v>62</v>
      </c>
      <c r="C322" s="342">
        <v>176169</v>
      </c>
      <c r="D322" s="181">
        <v>9</v>
      </c>
      <c r="E322" s="162" t="s">
        <v>442</v>
      </c>
      <c r="F322" s="163" t="s">
        <v>442</v>
      </c>
      <c r="G322" s="79"/>
      <c r="H322" s="322"/>
      <c r="I322" s="79">
        <v>38855</v>
      </c>
      <c r="J322" s="322">
        <v>37464</v>
      </c>
      <c r="K322" s="79">
        <v>5399</v>
      </c>
      <c r="L322" s="322">
        <v>4479</v>
      </c>
      <c r="M322" s="79">
        <v>44976</v>
      </c>
      <c r="N322" s="322">
        <v>42175</v>
      </c>
      <c r="O322" s="323">
        <f t="shared" si="88"/>
        <v>89230</v>
      </c>
      <c r="P322" s="638">
        <f t="shared" si="98"/>
        <v>0</v>
      </c>
      <c r="Q322" s="639" t="s">
        <v>949</v>
      </c>
      <c r="R322" s="90">
        <f t="shared" si="102"/>
        <v>2974.3333333333335</v>
      </c>
      <c r="S322" s="324">
        <f t="shared" si="89"/>
        <v>84118</v>
      </c>
      <c r="T322" s="638">
        <f t="shared" si="99"/>
        <v>84118</v>
      </c>
      <c r="U322" s="550">
        <v>389</v>
      </c>
      <c r="V322" s="80">
        <f t="shared" si="103"/>
        <v>2803.9333333333334</v>
      </c>
      <c r="W322" s="79"/>
      <c r="X322" s="322"/>
      <c r="Y322" s="79"/>
      <c r="Z322" s="322"/>
      <c r="AA322" s="79"/>
      <c r="AB322" s="322"/>
      <c r="AC322" s="79"/>
      <c r="AD322" s="322"/>
      <c r="AE322" s="323">
        <f t="shared" si="90"/>
        <v>0</v>
      </c>
      <c r="AF322" s="638">
        <f t="shared" si="100"/>
        <v>0</v>
      </c>
      <c r="AG322" s="322"/>
      <c r="AH322" s="90">
        <f t="shared" si="91"/>
        <v>0</v>
      </c>
      <c r="AI322" s="80">
        <f t="shared" si="92"/>
        <v>0</v>
      </c>
      <c r="AJ322" s="638">
        <f t="shared" si="101"/>
        <v>0</v>
      </c>
      <c r="AK322" s="322"/>
      <c r="AL322" s="80">
        <f t="shared" si="93"/>
        <v>0</v>
      </c>
      <c r="AM322" s="79"/>
      <c r="AN322" s="322"/>
      <c r="AO322" s="79"/>
      <c r="AP322" s="322"/>
      <c r="AQ322" s="79"/>
      <c r="AR322" s="322"/>
      <c r="AS322" s="79"/>
      <c r="AT322" s="322"/>
      <c r="AU322" s="325">
        <f t="shared" si="94"/>
        <v>0</v>
      </c>
      <c r="AV322" s="90">
        <f t="shared" si="104"/>
        <v>0</v>
      </c>
      <c r="AW322" s="324">
        <f t="shared" si="95"/>
        <v>0</v>
      </c>
      <c r="AX322" s="80">
        <f t="shared" si="105"/>
        <v>0</v>
      </c>
      <c r="AY322" s="326">
        <f t="shared" si="96"/>
        <v>2974.3333333333335</v>
      </c>
      <c r="AZ322" s="80">
        <f t="shared" si="97"/>
        <v>2803.9333333333334</v>
      </c>
    </row>
    <row r="323" spans="1:52" s="415" customFormat="1">
      <c r="A323" s="179" t="s">
        <v>703</v>
      </c>
      <c r="B323" s="180" t="s">
        <v>63</v>
      </c>
      <c r="C323" s="342">
        <v>176239</v>
      </c>
      <c r="D323" s="181">
        <v>9</v>
      </c>
      <c r="E323" s="162" t="s">
        <v>442</v>
      </c>
      <c r="F323" s="163" t="s">
        <v>442</v>
      </c>
      <c r="G323" s="79"/>
      <c r="H323" s="322"/>
      <c r="I323" s="79">
        <v>42116</v>
      </c>
      <c r="J323" s="322">
        <v>42287</v>
      </c>
      <c r="K323" s="79">
        <v>8841</v>
      </c>
      <c r="L323" s="322">
        <v>9063</v>
      </c>
      <c r="M323" s="79">
        <v>45027</v>
      </c>
      <c r="N323" s="322">
        <v>51016</v>
      </c>
      <c r="O323" s="323">
        <f t="shared" si="88"/>
        <v>95984</v>
      </c>
      <c r="P323" s="638">
        <f t="shared" si="98"/>
        <v>0</v>
      </c>
      <c r="Q323" s="639" t="s">
        <v>949</v>
      </c>
      <c r="R323" s="90">
        <f t="shared" si="102"/>
        <v>3199.4666666666667</v>
      </c>
      <c r="S323" s="324">
        <f t="shared" si="89"/>
        <v>102366</v>
      </c>
      <c r="T323" s="638">
        <f t="shared" si="99"/>
        <v>102366</v>
      </c>
      <c r="U323" s="550">
        <v>895</v>
      </c>
      <c r="V323" s="80">
        <f t="shared" si="103"/>
        <v>3412.2</v>
      </c>
      <c r="W323" s="79"/>
      <c r="X323" s="322"/>
      <c r="Y323" s="79"/>
      <c r="Z323" s="322"/>
      <c r="AA323" s="79"/>
      <c r="AB323" s="322"/>
      <c r="AC323" s="79"/>
      <c r="AD323" s="322"/>
      <c r="AE323" s="323">
        <f t="shared" si="90"/>
        <v>0</v>
      </c>
      <c r="AF323" s="638">
        <f t="shared" si="100"/>
        <v>0</v>
      </c>
      <c r="AG323" s="322"/>
      <c r="AH323" s="90">
        <f t="shared" si="91"/>
        <v>0</v>
      </c>
      <c r="AI323" s="80">
        <f t="shared" si="92"/>
        <v>0</v>
      </c>
      <c r="AJ323" s="638">
        <f t="shared" si="101"/>
        <v>0</v>
      </c>
      <c r="AK323" s="322"/>
      <c r="AL323" s="80">
        <f t="shared" si="93"/>
        <v>0</v>
      </c>
      <c r="AM323" s="79"/>
      <c r="AN323" s="322"/>
      <c r="AO323" s="79"/>
      <c r="AP323" s="322"/>
      <c r="AQ323" s="79"/>
      <c r="AR323" s="322"/>
      <c r="AS323" s="79"/>
      <c r="AT323" s="322"/>
      <c r="AU323" s="325">
        <f t="shared" si="94"/>
        <v>0</v>
      </c>
      <c r="AV323" s="90">
        <f t="shared" si="104"/>
        <v>0</v>
      </c>
      <c r="AW323" s="324">
        <f t="shared" si="95"/>
        <v>0</v>
      </c>
      <c r="AX323" s="80">
        <f t="shared" si="105"/>
        <v>0</v>
      </c>
      <c r="AY323" s="326">
        <f t="shared" si="96"/>
        <v>3199.4666666666667</v>
      </c>
      <c r="AZ323" s="80">
        <f t="shared" si="97"/>
        <v>3412.2</v>
      </c>
    </row>
    <row r="324" spans="1:52" s="415" customFormat="1">
      <c r="A324" s="179" t="s">
        <v>703</v>
      </c>
      <c r="B324" s="179" t="s">
        <v>64</v>
      </c>
      <c r="C324" s="342">
        <v>175519</v>
      </c>
      <c r="D324" s="181">
        <v>10</v>
      </c>
      <c r="E324" s="162" t="s">
        <v>442</v>
      </c>
      <c r="F324" s="163" t="s">
        <v>442</v>
      </c>
      <c r="G324" s="79"/>
      <c r="H324" s="322"/>
      <c r="I324" s="79">
        <v>22326</v>
      </c>
      <c r="J324" s="322">
        <v>21034</v>
      </c>
      <c r="K324" s="79">
        <v>2131</v>
      </c>
      <c r="L324" s="322">
        <v>1708</v>
      </c>
      <c r="M324" s="79">
        <v>26045</v>
      </c>
      <c r="N324" s="322">
        <v>21634</v>
      </c>
      <c r="O324" s="323">
        <f t="shared" ref="O324:O387" si="106">SUM(G324,I324,K324,M324)</f>
        <v>50502</v>
      </c>
      <c r="P324" s="638">
        <f t="shared" si="98"/>
        <v>0</v>
      </c>
      <c r="Q324" s="639" t="s">
        <v>949</v>
      </c>
      <c r="R324" s="90">
        <f t="shared" si="102"/>
        <v>1683.4</v>
      </c>
      <c r="S324" s="324">
        <f t="shared" ref="S324:S387" si="107">SUM(H324,J324,L324,N324)</f>
        <v>44376</v>
      </c>
      <c r="T324" s="638">
        <f t="shared" si="99"/>
        <v>44376</v>
      </c>
      <c r="U324" s="550">
        <v>880</v>
      </c>
      <c r="V324" s="80">
        <f t="shared" si="103"/>
        <v>1479.2</v>
      </c>
      <c r="W324" s="79"/>
      <c r="X324" s="322"/>
      <c r="Y324" s="79"/>
      <c r="Z324" s="322"/>
      <c r="AA324" s="79"/>
      <c r="AB324" s="322"/>
      <c r="AC324" s="79"/>
      <c r="AD324" s="322"/>
      <c r="AE324" s="323">
        <f t="shared" ref="AE324:AE387" si="108">SUM(W324,Y324,AA324,AC324)</f>
        <v>0</v>
      </c>
      <c r="AF324" s="638">
        <f t="shared" si="100"/>
        <v>0</v>
      </c>
      <c r="AG324" s="322"/>
      <c r="AH324" s="90">
        <f t="shared" ref="AH324:AH387" si="109">+AE324/900</f>
        <v>0</v>
      </c>
      <c r="AI324" s="80">
        <f t="shared" ref="AI324:AI387" si="110">SUM(X324,Z324,AB324,AD324)</f>
        <v>0</v>
      </c>
      <c r="AJ324" s="638">
        <f t="shared" si="101"/>
        <v>0</v>
      </c>
      <c r="AK324" s="322"/>
      <c r="AL324" s="80">
        <f t="shared" ref="AL324:AL387" si="111">+AI324/900</f>
        <v>0</v>
      </c>
      <c r="AM324" s="79"/>
      <c r="AN324" s="322"/>
      <c r="AO324" s="79"/>
      <c r="AP324" s="322"/>
      <c r="AQ324" s="79"/>
      <c r="AR324" s="322"/>
      <c r="AS324" s="79"/>
      <c r="AT324" s="322"/>
      <c r="AU324" s="325">
        <f t="shared" ref="AU324:AU387" si="112">SUM(AM324,AO324,AQ324,AS324)</f>
        <v>0</v>
      </c>
      <c r="AV324" s="90">
        <f t="shared" si="104"/>
        <v>0</v>
      </c>
      <c r="AW324" s="324">
        <f t="shared" ref="AW324:AW387" si="113">SUM(AN324,AP324,AR324,AT324)</f>
        <v>0</v>
      </c>
      <c r="AX324" s="80">
        <f t="shared" si="105"/>
        <v>0</v>
      </c>
      <c r="AY324" s="326">
        <f t="shared" ref="AY324:AY387" si="114">SUM(R324,AH324,AV324)</f>
        <v>1683.4</v>
      </c>
      <c r="AZ324" s="80">
        <f t="shared" ref="AZ324:AZ387" si="115">SUM(V324,AL324,AX324)</f>
        <v>1479.2</v>
      </c>
    </row>
    <row r="325" spans="1:52" s="415" customFormat="1">
      <c r="A325" s="179" t="s">
        <v>703</v>
      </c>
      <c r="B325" s="179" t="s">
        <v>65</v>
      </c>
      <c r="C325" s="342">
        <v>176354</v>
      </c>
      <c r="D325" s="181">
        <v>10</v>
      </c>
      <c r="E325" s="162" t="s">
        <v>442</v>
      </c>
      <c r="F325" s="163" t="s">
        <v>442</v>
      </c>
      <c r="G325" s="79"/>
      <c r="H325" s="322"/>
      <c r="I325" s="79">
        <v>20965</v>
      </c>
      <c r="J325" s="322">
        <v>20878</v>
      </c>
      <c r="K325" s="79">
        <v>3050</v>
      </c>
      <c r="L325" s="322">
        <v>2632</v>
      </c>
      <c r="M325" s="79">
        <v>24189</v>
      </c>
      <c r="N325" s="322">
        <v>25412</v>
      </c>
      <c r="O325" s="323">
        <f t="shared" si="106"/>
        <v>48204</v>
      </c>
      <c r="P325" s="638">
        <f t="shared" ref="P325:P388" si="116">IF(Q325="—",0,O325)</f>
        <v>0</v>
      </c>
      <c r="Q325" s="639" t="s">
        <v>949</v>
      </c>
      <c r="R325" s="90">
        <f t="shared" si="102"/>
        <v>1606.8</v>
      </c>
      <c r="S325" s="324">
        <f t="shared" si="107"/>
        <v>48922</v>
      </c>
      <c r="T325" s="638">
        <f t="shared" ref="T325:T388" si="117">IF(U325="—",0,S325)</f>
        <v>48922</v>
      </c>
      <c r="U325" s="550">
        <v>415</v>
      </c>
      <c r="V325" s="80">
        <f t="shared" si="103"/>
        <v>1630.7333333333333</v>
      </c>
      <c r="W325" s="79"/>
      <c r="X325" s="322"/>
      <c r="Y325" s="79"/>
      <c r="Z325" s="322"/>
      <c r="AA325" s="79"/>
      <c r="AB325" s="322"/>
      <c r="AC325" s="79"/>
      <c r="AD325" s="322"/>
      <c r="AE325" s="323">
        <f t="shared" si="108"/>
        <v>0</v>
      </c>
      <c r="AF325" s="638">
        <f t="shared" ref="AF325:AF388" si="118">IF(AG325="—",0,AE325)</f>
        <v>0</v>
      </c>
      <c r="AG325" s="322"/>
      <c r="AH325" s="90">
        <f t="shared" si="109"/>
        <v>0</v>
      </c>
      <c r="AI325" s="80">
        <f t="shared" si="110"/>
        <v>0</v>
      </c>
      <c r="AJ325" s="638">
        <f t="shared" ref="AJ325:AJ388" si="119">IF(AK325="—",0,AI325)</f>
        <v>0</v>
      </c>
      <c r="AK325" s="322"/>
      <c r="AL325" s="80">
        <f t="shared" si="111"/>
        <v>0</v>
      </c>
      <c r="AM325" s="79"/>
      <c r="AN325" s="322"/>
      <c r="AO325" s="79"/>
      <c r="AP325" s="322"/>
      <c r="AQ325" s="79"/>
      <c r="AR325" s="322"/>
      <c r="AS325" s="79"/>
      <c r="AT325" s="322"/>
      <c r="AU325" s="325">
        <f t="shared" si="112"/>
        <v>0</v>
      </c>
      <c r="AV325" s="90">
        <f t="shared" si="104"/>
        <v>0</v>
      </c>
      <c r="AW325" s="324">
        <f t="shared" si="113"/>
        <v>0</v>
      </c>
      <c r="AX325" s="80">
        <f t="shared" si="105"/>
        <v>0</v>
      </c>
      <c r="AY325" s="326">
        <f t="shared" si="114"/>
        <v>1606.8</v>
      </c>
      <c r="AZ325" s="80">
        <f t="shared" si="115"/>
        <v>1630.7333333333333</v>
      </c>
    </row>
    <row r="326" spans="1:52">
      <c r="A326" s="98" t="s">
        <v>596</v>
      </c>
      <c r="B326" s="98" t="s">
        <v>655</v>
      </c>
      <c r="C326" s="231">
        <v>199193</v>
      </c>
      <c r="D326" s="359">
        <v>1</v>
      </c>
      <c r="E326" s="162" t="s">
        <v>442</v>
      </c>
      <c r="F326" s="163" t="s">
        <v>442</v>
      </c>
      <c r="G326" s="79"/>
      <c r="H326" s="322"/>
      <c r="I326" s="79">
        <v>297764</v>
      </c>
      <c r="J326" s="322">
        <v>306377</v>
      </c>
      <c r="K326" s="79">
        <v>51650</v>
      </c>
      <c r="L326" s="322">
        <v>52013</v>
      </c>
      <c r="M326" s="79">
        <v>328261</v>
      </c>
      <c r="N326" s="322">
        <v>337998</v>
      </c>
      <c r="O326" s="323">
        <f t="shared" si="106"/>
        <v>677675</v>
      </c>
      <c r="P326" s="638">
        <f t="shared" si="116"/>
        <v>677675</v>
      </c>
      <c r="Q326" s="322">
        <v>0</v>
      </c>
      <c r="R326" s="90">
        <f t="shared" si="102"/>
        <v>22589.166666666668</v>
      </c>
      <c r="S326" s="324">
        <f t="shared" si="107"/>
        <v>696388</v>
      </c>
      <c r="T326" s="638">
        <f t="shared" si="117"/>
        <v>696388</v>
      </c>
      <c r="U326" s="322">
        <v>0</v>
      </c>
      <c r="V326" s="80">
        <f t="shared" si="103"/>
        <v>23212.933333333334</v>
      </c>
      <c r="W326" s="79"/>
      <c r="X326" s="322"/>
      <c r="Y326" s="79"/>
      <c r="Z326" s="322"/>
      <c r="AA326" s="79"/>
      <c r="AB326" s="322"/>
      <c r="AC326" s="79"/>
      <c r="AD326" s="322"/>
      <c r="AE326" s="323">
        <f t="shared" si="108"/>
        <v>0</v>
      </c>
      <c r="AF326" s="638">
        <f t="shared" si="118"/>
        <v>0</v>
      </c>
      <c r="AG326" s="322"/>
      <c r="AH326" s="90">
        <f t="shared" si="109"/>
        <v>0</v>
      </c>
      <c r="AI326" s="80">
        <f t="shared" si="110"/>
        <v>0</v>
      </c>
      <c r="AJ326" s="638">
        <f t="shared" si="119"/>
        <v>0</v>
      </c>
      <c r="AK326" s="322"/>
      <c r="AL326" s="80">
        <f t="shared" si="111"/>
        <v>0</v>
      </c>
      <c r="AM326" s="79"/>
      <c r="AN326" s="322"/>
      <c r="AO326" s="79">
        <v>48856</v>
      </c>
      <c r="AP326" s="322">
        <v>51210</v>
      </c>
      <c r="AQ326" s="79">
        <v>6373</v>
      </c>
      <c r="AR326" s="322">
        <v>7332</v>
      </c>
      <c r="AS326" s="79">
        <v>54398</v>
      </c>
      <c r="AT326" s="322">
        <v>57704</v>
      </c>
      <c r="AU326" s="325">
        <f t="shared" si="112"/>
        <v>109627</v>
      </c>
      <c r="AV326" s="90">
        <f t="shared" si="104"/>
        <v>4567.791666666667</v>
      </c>
      <c r="AW326" s="324">
        <f t="shared" si="113"/>
        <v>116246</v>
      </c>
      <c r="AX326" s="80">
        <f t="shared" si="105"/>
        <v>4843.583333333333</v>
      </c>
      <c r="AY326" s="326">
        <f t="shared" si="114"/>
        <v>27156.958333333336</v>
      </c>
      <c r="AZ326" s="80">
        <f t="shared" si="115"/>
        <v>28056.516666666666</v>
      </c>
    </row>
    <row r="327" spans="1:52">
      <c r="A327" s="98" t="s">
        <v>596</v>
      </c>
      <c r="B327" s="98" t="s">
        <v>656</v>
      </c>
      <c r="C327" s="231">
        <v>199120</v>
      </c>
      <c r="D327" s="359">
        <v>1</v>
      </c>
      <c r="E327" s="162" t="s">
        <v>442</v>
      </c>
      <c r="F327" s="163" t="s">
        <v>442</v>
      </c>
      <c r="G327" s="79"/>
      <c r="H327" s="322"/>
      <c r="I327" s="79">
        <v>215950</v>
      </c>
      <c r="J327" s="322">
        <v>220821</v>
      </c>
      <c r="K327" s="79">
        <v>32626</v>
      </c>
      <c r="L327" s="322">
        <v>33062</v>
      </c>
      <c r="M327" s="79">
        <v>235737</v>
      </c>
      <c r="N327" s="322">
        <v>241077</v>
      </c>
      <c r="O327" s="323">
        <f t="shared" si="106"/>
        <v>484313</v>
      </c>
      <c r="P327" s="638">
        <f t="shared" si="116"/>
        <v>484313</v>
      </c>
      <c r="Q327" s="322">
        <v>0</v>
      </c>
      <c r="R327" s="90">
        <f t="shared" si="102"/>
        <v>16143.766666666666</v>
      </c>
      <c r="S327" s="324">
        <f t="shared" si="107"/>
        <v>494960</v>
      </c>
      <c r="T327" s="638">
        <f t="shared" si="117"/>
        <v>494960</v>
      </c>
      <c r="U327" s="322">
        <v>0</v>
      </c>
      <c r="V327" s="80">
        <f t="shared" si="103"/>
        <v>16498.666666666668</v>
      </c>
      <c r="W327" s="79"/>
      <c r="X327" s="322"/>
      <c r="Y327" s="79"/>
      <c r="Z327" s="322"/>
      <c r="AA327" s="79"/>
      <c r="AB327" s="322"/>
      <c r="AC327" s="79"/>
      <c r="AD327" s="322"/>
      <c r="AE327" s="323">
        <f t="shared" si="108"/>
        <v>0</v>
      </c>
      <c r="AF327" s="638">
        <f t="shared" si="118"/>
        <v>0</v>
      </c>
      <c r="AG327" s="322"/>
      <c r="AH327" s="90">
        <f t="shared" si="109"/>
        <v>0</v>
      </c>
      <c r="AI327" s="80">
        <f t="shared" si="110"/>
        <v>0</v>
      </c>
      <c r="AJ327" s="638">
        <f t="shared" si="119"/>
        <v>0</v>
      </c>
      <c r="AK327" s="322"/>
      <c r="AL327" s="80">
        <f t="shared" si="111"/>
        <v>0</v>
      </c>
      <c r="AM327" s="79"/>
      <c r="AN327" s="322"/>
      <c r="AO327" s="79">
        <v>82412</v>
      </c>
      <c r="AP327" s="322">
        <v>82078</v>
      </c>
      <c r="AQ327" s="79">
        <v>12198</v>
      </c>
      <c r="AR327" s="322">
        <v>13026</v>
      </c>
      <c r="AS327" s="79">
        <v>98109</v>
      </c>
      <c r="AT327" s="322">
        <v>92314</v>
      </c>
      <c r="AU327" s="325">
        <f t="shared" si="112"/>
        <v>192719</v>
      </c>
      <c r="AV327" s="90">
        <f t="shared" si="104"/>
        <v>8029.958333333333</v>
      </c>
      <c r="AW327" s="324">
        <f t="shared" si="113"/>
        <v>187418</v>
      </c>
      <c r="AX327" s="80">
        <f t="shared" si="105"/>
        <v>7809.083333333333</v>
      </c>
      <c r="AY327" s="326">
        <f t="shared" si="114"/>
        <v>24173.724999999999</v>
      </c>
      <c r="AZ327" s="80">
        <f t="shared" si="115"/>
        <v>24307.75</v>
      </c>
    </row>
    <row r="328" spans="1:52">
      <c r="A328" s="98" t="s">
        <v>596</v>
      </c>
      <c r="B328" s="99" t="s">
        <v>661</v>
      </c>
      <c r="C328" s="183">
        <v>199139</v>
      </c>
      <c r="D328" s="109">
        <v>2</v>
      </c>
      <c r="E328" s="162" t="s">
        <v>442</v>
      </c>
      <c r="F328" s="163" t="s">
        <v>442</v>
      </c>
      <c r="G328" s="79"/>
      <c r="H328" s="322"/>
      <c r="I328" s="79">
        <v>207022</v>
      </c>
      <c r="J328" s="322">
        <v>216563</v>
      </c>
      <c r="K328" s="79">
        <v>37377</v>
      </c>
      <c r="L328" s="322">
        <v>38693</v>
      </c>
      <c r="M328" s="79">
        <v>233148</v>
      </c>
      <c r="N328" s="322">
        <v>242637</v>
      </c>
      <c r="O328" s="323">
        <f t="shared" si="106"/>
        <v>477547</v>
      </c>
      <c r="P328" s="638">
        <f t="shared" si="116"/>
        <v>477547</v>
      </c>
      <c r="Q328" s="322">
        <v>0</v>
      </c>
      <c r="R328" s="90">
        <f t="shared" si="102"/>
        <v>15918.233333333334</v>
      </c>
      <c r="S328" s="324">
        <f t="shared" si="107"/>
        <v>497893</v>
      </c>
      <c r="T328" s="638">
        <f t="shared" si="117"/>
        <v>497893</v>
      </c>
      <c r="U328" s="322">
        <v>0</v>
      </c>
      <c r="V328" s="80">
        <f t="shared" si="103"/>
        <v>16596.433333333334</v>
      </c>
      <c r="W328" s="79"/>
      <c r="X328" s="322"/>
      <c r="Y328" s="79"/>
      <c r="Z328" s="322"/>
      <c r="AA328" s="79"/>
      <c r="AB328" s="322"/>
      <c r="AC328" s="79"/>
      <c r="AD328" s="322"/>
      <c r="AE328" s="323">
        <f t="shared" si="108"/>
        <v>0</v>
      </c>
      <c r="AF328" s="638">
        <f t="shared" si="118"/>
        <v>0</v>
      </c>
      <c r="AG328" s="322"/>
      <c r="AH328" s="90">
        <f t="shared" si="109"/>
        <v>0</v>
      </c>
      <c r="AI328" s="80">
        <f t="shared" si="110"/>
        <v>0</v>
      </c>
      <c r="AJ328" s="638">
        <f t="shared" si="119"/>
        <v>0</v>
      </c>
      <c r="AK328" s="322"/>
      <c r="AL328" s="80">
        <f t="shared" si="111"/>
        <v>0</v>
      </c>
      <c r="AM328" s="79"/>
      <c r="AN328" s="322"/>
      <c r="AO328" s="79">
        <v>26583</v>
      </c>
      <c r="AP328" s="322">
        <v>28210</v>
      </c>
      <c r="AQ328" s="79">
        <v>10031</v>
      </c>
      <c r="AR328" s="322">
        <v>10226</v>
      </c>
      <c r="AS328" s="79">
        <v>29221</v>
      </c>
      <c r="AT328" s="322">
        <v>31074</v>
      </c>
      <c r="AU328" s="325">
        <f t="shared" si="112"/>
        <v>65835</v>
      </c>
      <c r="AV328" s="90">
        <f t="shared" si="104"/>
        <v>2743.125</v>
      </c>
      <c r="AW328" s="324">
        <f t="shared" si="113"/>
        <v>69510</v>
      </c>
      <c r="AX328" s="80">
        <f t="shared" si="105"/>
        <v>2896.25</v>
      </c>
      <c r="AY328" s="326">
        <f t="shared" si="114"/>
        <v>18661.358333333334</v>
      </c>
      <c r="AZ328" s="80">
        <f t="shared" si="115"/>
        <v>19492.683333333334</v>
      </c>
    </row>
    <row r="329" spans="1:52">
      <c r="A329" s="98" t="s">
        <v>596</v>
      </c>
      <c r="B329" s="98" t="s">
        <v>657</v>
      </c>
      <c r="C329" s="231">
        <v>199148</v>
      </c>
      <c r="D329" s="359">
        <v>2</v>
      </c>
      <c r="E329" s="162" t="s">
        <v>442</v>
      </c>
      <c r="F329" s="163" t="s">
        <v>442</v>
      </c>
      <c r="G329" s="79"/>
      <c r="H329" s="322"/>
      <c r="I329" s="79">
        <v>160967</v>
      </c>
      <c r="J329" s="322">
        <v>173633</v>
      </c>
      <c r="K329" s="79">
        <v>24773</v>
      </c>
      <c r="L329" s="322">
        <v>26613</v>
      </c>
      <c r="M329" s="79">
        <v>179923</v>
      </c>
      <c r="N329" s="322">
        <v>193384</v>
      </c>
      <c r="O329" s="323">
        <f t="shared" si="106"/>
        <v>365663</v>
      </c>
      <c r="P329" s="638">
        <f t="shared" si="116"/>
        <v>365663</v>
      </c>
      <c r="Q329" s="322">
        <v>4144</v>
      </c>
      <c r="R329" s="90">
        <f t="shared" si="102"/>
        <v>12188.766666666666</v>
      </c>
      <c r="S329" s="324">
        <f t="shared" si="107"/>
        <v>393630</v>
      </c>
      <c r="T329" s="638">
        <f t="shared" si="117"/>
        <v>393630</v>
      </c>
      <c r="U329" s="322">
        <v>12546</v>
      </c>
      <c r="V329" s="80">
        <f t="shared" si="103"/>
        <v>13121</v>
      </c>
      <c r="W329" s="79"/>
      <c r="X329" s="322"/>
      <c r="Y329" s="79"/>
      <c r="Z329" s="322"/>
      <c r="AA329" s="79"/>
      <c r="AB329" s="322"/>
      <c r="AC329" s="79"/>
      <c r="AD329" s="322"/>
      <c r="AE329" s="323">
        <f t="shared" si="108"/>
        <v>0</v>
      </c>
      <c r="AF329" s="638">
        <f t="shared" si="118"/>
        <v>0</v>
      </c>
      <c r="AG329" s="322"/>
      <c r="AH329" s="90">
        <f t="shared" si="109"/>
        <v>0</v>
      </c>
      <c r="AI329" s="80">
        <f t="shared" si="110"/>
        <v>0</v>
      </c>
      <c r="AJ329" s="638">
        <f t="shared" si="119"/>
        <v>0</v>
      </c>
      <c r="AK329" s="322"/>
      <c r="AL329" s="80">
        <f t="shared" si="111"/>
        <v>0</v>
      </c>
      <c r="AM329" s="79"/>
      <c r="AN329" s="322"/>
      <c r="AO329" s="79">
        <v>29462</v>
      </c>
      <c r="AP329" s="322">
        <v>29863</v>
      </c>
      <c r="AQ329" s="79">
        <v>7816</v>
      </c>
      <c r="AR329" s="322">
        <v>7287</v>
      </c>
      <c r="AS329" s="79">
        <v>31003</v>
      </c>
      <c r="AT329" s="322">
        <v>31091</v>
      </c>
      <c r="AU329" s="325">
        <f t="shared" si="112"/>
        <v>68281</v>
      </c>
      <c r="AV329" s="90">
        <f t="shared" si="104"/>
        <v>2845.0416666666665</v>
      </c>
      <c r="AW329" s="324">
        <f t="shared" si="113"/>
        <v>68241</v>
      </c>
      <c r="AX329" s="80">
        <f t="shared" si="105"/>
        <v>2843.375</v>
      </c>
      <c r="AY329" s="326">
        <f t="shared" si="114"/>
        <v>15033.808333333332</v>
      </c>
      <c r="AZ329" s="80">
        <f t="shared" si="115"/>
        <v>15964.375</v>
      </c>
    </row>
    <row r="330" spans="1:52">
      <c r="A330" s="98" t="s">
        <v>596</v>
      </c>
      <c r="B330" s="98" t="s">
        <v>658</v>
      </c>
      <c r="C330" s="231">
        <v>197869</v>
      </c>
      <c r="D330" s="359">
        <v>3</v>
      </c>
      <c r="E330" s="162" t="s">
        <v>442</v>
      </c>
      <c r="F330" s="163" t="s">
        <v>442</v>
      </c>
      <c r="G330" s="79"/>
      <c r="H330" s="322"/>
      <c r="I330" s="79">
        <v>176765</v>
      </c>
      <c r="J330" s="322">
        <v>189910</v>
      </c>
      <c r="K330" s="79">
        <v>32220</v>
      </c>
      <c r="L330" s="322">
        <v>31256</v>
      </c>
      <c r="M330" s="79">
        <v>200769</v>
      </c>
      <c r="N330" s="322">
        <v>211078</v>
      </c>
      <c r="O330" s="323">
        <f t="shared" si="106"/>
        <v>409754</v>
      </c>
      <c r="P330" s="638">
        <f t="shared" si="116"/>
        <v>409754</v>
      </c>
      <c r="Q330" s="322">
        <v>0</v>
      </c>
      <c r="R330" s="90">
        <f t="shared" si="102"/>
        <v>13658.466666666667</v>
      </c>
      <c r="S330" s="324">
        <f t="shared" si="107"/>
        <v>432244</v>
      </c>
      <c r="T330" s="638">
        <f t="shared" si="117"/>
        <v>432244</v>
      </c>
      <c r="U330" s="322">
        <v>0</v>
      </c>
      <c r="V330" s="80">
        <f t="shared" si="103"/>
        <v>14408.133333333333</v>
      </c>
      <c r="W330" s="79"/>
      <c r="X330" s="322"/>
      <c r="Y330" s="79"/>
      <c r="Z330" s="322"/>
      <c r="AA330" s="79"/>
      <c r="AB330" s="322"/>
      <c r="AC330" s="79"/>
      <c r="AD330" s="322"/>
      <c r="AE330" s="323">
        <f t="shared" si="108"/>
        <v>0</v>
      </c>
      <c r="AF330" s="638">
        <f t="shared" si="118"/>
        <v>0</v>
      </c>
      <c r="AG330" s="322"/>
      <c r="AH330" s="90">
        <f t="shared" si="109"/>
        <v>0</v>
      </c>
      <c r="AI330" s="80">
        <f t="shared" si="110"/>
        <v>0</v>
      </c>
      <c r="AJ330" s="638">
        <f t="shared" si="119"/>
        <v>0</v>
      </c>
      <c r="AK330" s="322"/>
      <c r="AL330" s="80">
        <f t="shared" si="111"/>
        <v>0</v>
      </c>
      <c r="AM330" s="79"/>
      <c r="AN330" s="322"/>
      <c r="AO330" s="79">
        <v>12030</v>
      </c>
      <c r="AP330" s="322">
        <v>13385</v>
      </c>
      <c r="AQ330" s="79">
        <v>7538</v>
      </c>
      <c r="AR330" s="322">
        <v>8353</v>
      </c>
      <c r="AS330" s="79">
        <v>13572</v>
      </c>
      <c r="AT330" s="322">
        <v>14527</v>
      </c>
      <c r="AU330" s="325">
        <f t="shared" si="112"/>
        <v>33140</v>
      </c>
      <c r="AV330" s="90">
        <f t="shared" si="104"/>
        <v>1380.8333333333333</v>
      </c>
      <c r="AW330" s="324">
        <f t="shared" si="113"/>
        <v>36265</v>
      </c>
      <c r="AX330" s="80">
        <f t="shared" si="105"/>
        <v>1511.0416666666667</v>
      </c>
      <c r="AY330" s="326">
        <f t="shared" si="114"/>
        <v>15039.300000000001</v>
      </c>
      <c r="AZ330" s="80">
        <f t="shared" si="115"/>
        <v>15919.174999999999</v>
      </c>
    </row>
    <row r="331" spans="1:52">
      <c r="A331" s="98" t="s">
        <v>596</v>
      </c>
      <c r="B331" s="99" t="s">
        <v>659</v>
      </c>
      <c r="C331" s="183">
        <v>198464</v>
      </c>
      <c r="D331" s="109">
        <v>3</v>
      </c>
      <c r="E331" s="162" t="s">
        <v>442</v>
      </c>
      <c r="F331" s="163" t="s">
        <v>442</v>
      </c>
      <c r="G331" s="79"/>
      <c r="H331" s="322"/>
      <c r="I331" s="79">
        <v>231715</v>
      </c>
      <c r="J331" s="322">
        <v>242035</v>
      </c>
      <c r="K331" s="79">
        <v>47040</v>
      </c>
      <c r="L331" s="322">
        <v>49175</v>
      </c>
      <c r="M331" s="79">
        <v>260641</v>
      </c>
      <c r="N331" s="322">
        <v>277518</v>
      </c>
      <c r="O331" s="323">
        <f t="shared" si="106"/>
        <v>539396</v>
      </c>
      <c r="P331" s="638">
        <f t="shared" si="116"/>
        <v>539396</v>
      </c>
      <c r="Q331" s="322">
        <v>0</v>
      </c>
      <c r="R331" s="90">
        <f t="shared" si="102"/>
        <v>17979.866666666665</v>
      </c>
      <c r="S331" s="324">
        <f t="shared" si="107"/>
        <v>568728</v>
      </c>
      <c r="T331" s="638">
        <f t="shared" si="117"/>
        <v>568728</v>
      </c>
      <c r="U331" s="322">
        <v>0</v>
      </c>
      <c r="V331" s="80">
        <f t="shared" si="103"/>
        <v>18957.599999999999</v>
      </c>
      <c r="W331" s="79"/>
      <c r="X331" s="640"/>
      <c r="Y331" s="79"/>
      <c r="Z331" s="322"/>
      <c r="AA331" s="79"/>
      <c r="AB331" s="322"/>
      <c r="AC331" s="79"/>
      <c r="AD331" s="322"/>
      <c r="AE331" s="323">
        <f t="shared" si="108"/>
        <v>0</v>
      </c>
      <c r="AF331" s="638">
        <f t="shared" si="118"/>
        <v>0</v>
      </c>
      <c r="AG331" s="322"/>
      <c r="AH331" s="90">
        <f t="shared" si="109"/>
        <v>0</v>
      </c>
      <c r="AI331" s="80">
        <f t="shared" si="110"/>
        <v>0</v>
      </c>
      <c r="AJ331" s="638">
        <f t="shared" si="119"/>
        <v>0</v>
      </c>
      <c r="AK331" s="322"/>
      <c r="AL331" s="80">
        <f t="shared" si="111"/>
        <v>0</v>
      </c>
      <c r="AM331" s="79"/>
      <c r="AN331" s="322"/>
      <c r="AO331" s="79">
        <v>32561</v>
      </c>
      <c r="AP331" s="322">
        <v>35558</v>
      </c>
      <c r="AQ331" s="79">
        <v>20731</v>
      </c>
      <c r="AR331" s="322">
        <v>22180</v>
      </c>
      <c r="AS331" s="79">
        <v>40514</v>
      </c>
      <c r="AT331" s="322">
        <v>39620</v>
      </c>
      <c r="AU331" s="325">
        <f t="shared" si="112"/>
        <v>93806</v>
      </c>
      <c r="AV331" s="90">
        <f t="shared" si="104"/>
        <v>3908.5833333333335</v>
      </c>
      <c r="AW331" s="324">
        <f t="shared" si="113"/>
        <v>97358</v>
      </c>
      <c r="AX331" s="80">
        <f t="shared" si="105"/>
        <v>4056.5833333333335</v>
      </c>
      <c r="AY331" s="326">
        <f t="shared" si="114"/>
        <v>21888.449999999997</v>
      </c>
      <c r="AZ331" s="80">
        <f t="shared" si="115"/>
        <v>23014.183333333331</v>
      </c>
    </row>
    <row r="332" spans="1:52">
      <c r="A332" s="98" t="s">
        <v>596</v>
      </c>
      <c r="B332" s="391" t="s">
        <v>100</v>
      </c>
      <c r="C332" s="231">
        <v>199102</v>
      </c>
      <c r="D332" s="359">
        <v>3</v>
      </c>
      <c r="E332" s="162" t="s">
        <v>442</v>
      </c>
      <c r="F332" s="163" t="s">
        <v>442</v>
      </c>
      <c r="G332" s="79"/>
      <c r="H332" s="322"/>
      <c r="I332" s="79">
        <v>126535</v>
      </c>
      <c r="J332" s="322">
        <v>119039</v>
      </c>
      <c r="K332" s="79">
        <v>23819</v>
      </c>
      <c r="L332" s="322">
        <v>21517</v>
      </c>
      <c r="M332" s="79">
        <v>127974</v>
      </c>
      <c r="N332" s="322">
        <v>122706</v>
      </c>
      <c r="O332" s="323">
        <f t="shared" si="106"/>
        <v>278328</v>
      </c>
      <c r="P332" s="638">
        <f t="shared" si="116"/>
        <v>278328</v>
      </c>
      <c r="Q332" s="322">
        <v>1042</v>
      </c>
      <c r="R332" s="90">
        <f t="shared" si="102"/>
        <v>9277.6</v>
      </c>
      <c r="S332" s="324">
        <f t="shared" si="107"/>
        <v>263262</v>
      </c>
      <c r="T332" s="638">
        <f t="shared" si="117"/>
        <v>263262</v>
      </c>
      <c r="U332" s="322">
        <v>874</v>
      </c>
      <c r="V332" s="80">
        <f t="shared" si="103"/>
        <v>8775.4</v>
      </c>
      <c r="W332" s="79"/>
      <c r="X332" s="322"/>
      <c r="Y332" s="79"/>
      <c r="Z332" s="322"/>
      <c r="AA332" s="79"/>
      <c r="AB332" s="322"/>
      <c r="AC332" s="79"/>
      <c r="AD332" s="322"/>
      <c r="AE332" s="323">
        <f t="shared" si="108"/>
        <v>0</v>
      </c>
      <c r="AF332" s="638">
        <f t="shared" si="118"/>
        <v>0</v>
      </c>
      <c r="AG332" s="322"/>
      <c r="AH332" s="90">
        <f t="shared" si="109"/>
        <v>0</v>
      </c>
      <c r="AI332" s="80">
        <f t="shared" si="110"/>
        <v>0</v>
      </c>
      <c r="AJ332" s="638">
        <f t="shared" si="119"/>
        <v>0</v>
      </c>
      <c r="AK332" s="322"/>
      <c r="AL332" s="80">
        <f t="shared" si="111"/>
        <v>0</v>
      </c>
      <c r="AM332" s="79"/>
      <c r="AN332" s="322"/>
      <c r="AO332" s="79">
        <v>14829</v>
      </c>
      <c r="AP332" s="322">
        <v>14723</v>
      </c>
      <c r="AQ332" s="79">
        <v>3987</v>
      </c>
      <c r="AR332" s="322">
        <v>4012</v>
      </c>
      <c r="AS332" s="79">
        <v>13131</v>
      </c>
      <c r="AT332" s="322">
        <v>14601</v>
      </c>
      <c r="AU332" s="325">
        <f t="shared" si="112"/>
        <v>31947</v>
      </c>
      <c r="AV332" s="90">
        <f t="shared" si="104"/>
        <v>1331.125</v>
      </c>
      <c r="AW332" s="324">
        <f t="shared" si="113"/>
        <v>33336</v>
      </c>
      <c r="AX332" s="80">
        <f t="shared" si="105"/>
        <v>1389</v>
      </c>
      <c r="AY332" s="326">
        <f t="shared" si="114"/>
        <v>10608.725</v>
      </c>
      <c r="AZ332" s="80">
        <f t="shared" si="115"/>
        <v>10164.4</v>
      </c>
    </row>
    <row r="333" spans="1:52">
      <c r="A333" s="98" t="s">
        <v>596</v>
      </c>
      <c r="B333" s="98" t="s">
        <v>660</v>
      </c>
      <c r="C333" s="231">
        <v>199157</v>
      </c>
      <c r="D333" s="359">
        <v>3</v>
      </c>
      <c r="E333" s="162" t="s">
        <v>442</v>
      </c>
      <c r="F333" s="163" t="s">
        <v>442</v>
      </c>
      <c r="G333" s="79"/>
      <c r="H333" s="322"/>
      <c r="I333" s="79">
        <v>76251</v>
      </c>
      <c r="J333" s="322">
        <v>77938</v>
      </c>
      <c r="K333" s="79">
        <v>18429</v>
      </c>
      <c r="L333" s="322">
        <v>18523</v>
      </c>
      <c r="M333" s="79">
        <v>84104</v>
      </c>
      <c r="N333" s="322">
        <v>80189</v>
      </c>
      <c r="O333" s="323">
        <f t="shared" si="106"/>
        <v>178784</v>
      </c>
      <c r="P333" s="638">
        <f t="shared" si="116"/>
        <v>178784</v>
      </c>
      <c r="Q333" s="322">
        <v>1556</v>
      </c>
      <c r="R333" s="90">
        <f t="shared" si="102"/>
        <v>5959.4666666666662</v>
      </c>
      <c r="S333" s="324">
        <f t="shared" si="107"/>
        <v>176650</v>
      </c>
      <c r="T333" s="638">
        <f t="shared" si="117"/>
        <v>176650</v>
      </c>
      <c r="U333" s="322">
        <v>3547</v>
      </c>
      <c r="V333" s="80">
        <f t="shared" si="103"/>
        <v>5888.333333333333</v>
      </c>
      <c r="W333" s="79"/>
      <c r="X333" s="322"/>
      <c r="Y333" s="79"/>
      <c r="Z333" s="322"/>
      <c r="AA333" s="79"/>
      <c r="AB333" s="322"/>
      <c r="AC333" s="79"/>
      <c r="AD333" s="322"/>
      <c r="AE333" s="323">
        <f t="shared" si="108"/>
        <v>0</v>
      </c>
      <c r="AF333" s="638">
        <f t="shared" si="118"/>
        <v>0</v>
      </c>
      <c r="AG333" s="322"/>
      <c r="AH333" s="90">
        <f t="shared" si="109"/>
        <v>0</v>
      </c>
      <c r="AI333" s="80">
        <f t="shared" si="110"/>
        <v>0</v>
      </c>
      <c r="AJ333" s="638">
        <f t="shared" si="119"/>
        <v>0</v>
      </c>
      <c r="AK333" s="322"/>
      <c r="AL333" s="80">
        <f t="shared" si="111"/>
        <v>0</v>
      </c>
      <c r="AM333" s="79"/>
      <c r="AN333" s="322"/>
      <c r="AO333" s="79">
        <v>16481</v>
      </c>
      <c r="AP333" s="322">
        <v>17771</v>
      </c>
      <c r="AQ333" s="79">
        <v>4813</v>
      </c>
      <c r="AR333" s="322">
        <v>4875</v>
      </c>
      <c r="AS333" s="79">
        <v>18015</v>
      </c>
      <c r="AT333" s="322">
        <v>18741</v>
      </c>
      <c r="AU333" s="325">
        <f t="shared" si="112"/>
        <v>39309</v>
      </c>
      <c r="AV333" s="90">
        <f t="shared" si="104"/>
        <v>1637.875</v>
      </c>
      <c r="AW333" s="324">
        <f t="shared" si="113"/>
        <v>41387</v>
      </c>
      <c r="AX333" s="80">
        <f t="shared" si="105"/>
        <v>1724.4583333333333</v>
      </c>
      <c r="AY333" s="326">
        <f t="shared" si="114"/>
        <v>7597.3416666666662</v>
      </c>
      <c r="AZ333" s="80">
        <f t="shared" si="115"/>
        <v>7612.7916666666661</v>
      </c>
    </row>
    <row r="334" spans="1:52">
      <c r="A334" s="98" t="s">
        <v>596</v>
      </c>
      <c r="B334" s="98" t="s">
        <v>662</v>
      </c>
      <c r="C334" s="231">
        <v>199218</v>
      </c>
      <c r="D334" s="360">
        <v>3</v>
      </c>
      <c r="E334" s="162" t="s">
        <v>442</v>
      </c>
      <c r="F334" s="163" t="s">
        <v>442</v>
      </c>
      <c r="G334" s="79"/>
      <c r="H334" s="322"/>
      <c r="I334" s="79">
        <v>138426</v>
      </c>
      <c r="J334" s="322">
        <v>141594</v>
      </c>
      <c r="K334" s="79">
        <v>26320</v>
      </c>
      <c r="L334" s="322">
        <v>27182</v>
      </c>
      <c r="M334" s="79">
        <v>153993</v>
      </c>
      <c r="N334" s="322">
        <v>157835</v>
      </c>
      <c r="O334" s="323">
        <f t="shared" si="106"/>
        <v>318739</v>
      </c>
      <c r="P334" s="638">
        <f t="shared" si="116"/>
        <v>318739</v>
      </c>
      <c r="Q334" s="322">
        <v>0</v>
      </c>
      <c r="R334" s="90">
        <f t="shared" si="102"/>
        <v>10624.633333333333</v>
      </c>
      <c r="S334" s="324">
        <f t="shared" si="107"/>
        <v>326611</v>
      </c>
      <c r="T334" s="638">
        <f t="shared" si="117"/>
        <v>326611</v>
      </c>
      <c r="U334" s="322">
        <v>646</v>
      </c>
      <c r="V334" s="80">
        <f t="shared" si="103"/>
        <v>10887.033333333333</v>
      </c>
      <c r="W334" s="79"/>
      <c r="X334" s="322"/>
      <c r="Y334" s="79"/>
      <c r="Z334" s="322"/>
      <c r="AA334" s="79"/>
      <c r="AB334" s="322"/>
      <c r="AC334" s="79"/>
      <c r="AD334" s="322"/>
      <c r="AE334" s="323">
        <f t="shared" si="108"/>
        <v>0</v>
      </c>
      <c r="AF334" s="638">
        <f t="shared" si="118"/>
        <v>0</v>
      </c>
      <c r="AG334" s="322"/>
      <c r="AH334" s="90">
        <f t="shared" si="109"/>
        <v>0</v>
      </c>
      <c r="AI334" s="80">
        <f t="shared" si="110"/>
        <v>0</v>
      </c>
      <c r="AJ334" s="638">
        <f t="shared" si="119"/>
        <v>0</v>
      </c>
      <c r="AK334" s="322"/>
      <c r="AL334" s="80">
        <f t="shared" si="111"/>
        <v>0</v>
      </c>
      <c r="AM334" s="79"/>
      <c r="AN334" s="322"/>
      <c r="AO334" s="79">
        <v>7167</v>
      </c>
      <c r="AP334" s="322">
        <v>8058</v>
      </c>
      <c r="AQ334" s="79">
        <v>2221</v>
      </c>
      <c r="AR334" s="322">
        <v>2687</v>
      </c>
      <c r="AS334" s="79">
        <v>8292</v>
      </c>
      <c r="AT334" s="322">
        <v>9585</v>
      </c>
      <c r="AU334" s="325">
        <f t="shared" si="112"/>
        <v>17680</v>
      </c>
      <c r="AV334" s="90">
        <f t="shared" si="104"/>
        <v>736.66666666666663</v>
      </c>
      <c r="AW334" s="324">
        <f t="shared" si="113"/>
        <v>20330</v>
      </c>
      <c r="AX334" s="80">
        <f t="shared" si="105"/>
        <v>847.08333333333337</v>
      </c>
      <c r="AY334" s="326">
        <f t="shared" si="114"/>
        <v>11361.3</v>
      </c>
      <c r="AZ334" s="80">
        <f t="shared" si="115"/>
        <v>11734.116666666667</v>
      </c>
    </row>
    <row r="335" spans="1:52">
      <c r="A335" s="98" t="s">
        <v>596</v>
      </c>
      <c r="B335" s="98" t="s">
        <v>663</v>
      </c>
      <c r="C335" s="231">
        <v>200004</v>
      </c>
      <c r="D335" s="360">
        <v>3</v>
      </c>
      <c r="E335" s="162" t="s">
        <v>442</v>
      </c>
      <c r="F335" s="163" t="s">
        <v>442</v>
      </c>
      <c r="G335" s="79"/>
      <c r="H335" s="322"/>
      <c r="I335" s="79">
        <v>89717</v>
      </c>
      <c r="J335" s="322">
        <v>89807</v>
      </c>
      <c r="K335" s="79">
        <v>15343</v>
      </c>
      <c r="L335" s="322">
        <v>15087</v>
      </c>
      <c r="M335" s="79">
        <v>97168</v>
      </c>
      <c r="N335" s="322">
        <v>95088</v>
      </c>
      <c r="O335" s="323">
        <f t="shared" si="106"/>
        <v>202228</v>
      </c>
      <c r="P335" s="638">
        <f t="shared" si="116"/>
        <v>202228</v>
      </c>
      <c r="Q335" s="322">
        <v>0</v>
      </c>
      <c r="R335" s="90">
        <f t="shared" si="102"/>
        <v>6740.9333333333334</v>
      </c>
      <c r="S335" s="324">
        <f t="shared" si="107"/>
        <v>199982</v>
      </c>
      <c r="T335" s="638">
        <f t="shared" si="117"/>
        <v>199982</v>
      </c>
      <c r="U335" s="322">
        <v>0</v>
      </c>
      <c r="V335" s="80">
        <f t="shared" si="103"/>
        <v>6666.0666666666666</v>
      </c>
      <c r="W335" s="79"/>
      <c r="X335" s="322"/>
      <c r="Y335" s="79"/>
      <c r="Z335" s="322"/>
      <c r="AA335" s="79"/>
      <c r="AB335" s="322"/>
      <c r="AC335" s="79"/>
      <c r="AD335" s="322"/>
      <c r="AE335" s="323">
        <f t="shared" si="108"/>
        <v>0</v>
      </c>
      <c r="AF335" s="638">
        <f t="shared" si="118"/>
        <v>0</v>
      </c>
      <c r="AG335" s="322"/>
      <c r="AH335" s="90">
        <f t="shared" si="109"/>
        <v>0</v>
      </c>
      <c r="AI335" s="80">
        <f t="shared" si="110"/>
        <v>0</v>
      </c>
      <c r="AJ335" s="638">
        <f t="shared" si="119"/>
        <v>0</v>
      </c>
      <c r="AK335" s="322"/>
      <c r="AL335" s="80">
        <f t="shared" si="111"/>
        <v>0</v>
      </c>
      <c r="AM335" s="79"/>
      <c r="AN335" s="322"/>
      <c r="AO335" s="79">
        <v>10598</v>
      </c>
      <c r="AP335" s="322">
        <v>12008</v>
      </c>
      <c r="AQ335" s="79">
        <v>6329</v>
      </c>
      <c r="AR335" s="322">
        <v>6787</v>
      </c>
      <c r="AS335" s="79">
        <v>12663</v>
      </c>
      <c r="AT335" s="322">
        <v>12709</v>
      </c>
      <c r="AU335" s="325">
        <f t="shared" si="112"/>
        <v>29590</v>
      </c>
      <c r="AV335" s="90">
        <f t="shared" si="104"/>
        <v>1232.9166666666667</v>
      </c>
      <c r="AW335" s="324">
        <f t="shared" si="113"/>
        <v>31504</v>
      </c>
      <c r="AX335" s="80">
        <f t="shared" si="105"/>
        <v>1312.6666666666667</v>
      </c>
      <c r="AY335" s="326">
        <f t="shared" si="114"/>
        <v>7973.85</v>
      </c>
      <c r="AZ335" s="80">
        <f t="shared" si="115"/>
        <v>7978.7333333333336</v>
      </c>
    </row>
    <row r="336" spans="1:52">
      <c r="A336" s="98" t="s">
        <v>596</v>
      </c>
      <c r="B336" s="391" t="s">
        <v>664</v>
      </c>
      <c r="C336" s="231">
        <v>198543</v>
      </c>
      <c r="D336" s="360">
        <v>4</v>
      </c>
      <c r="E336" s="162" t="s">
        <v>442</v>
      </c>
      <c r="F336" s="163" t="s">
        <v>442</v>
      </c>
      <c r="G336" s="79"/>
      <c r="H336" s="322"/>
      <c r="I336" s="79">
        <v>71262</v>
      </c>
      <c r="J336" s="322">
        <v>76566</v>
      </c>
      <c r="K336" s="79">
        <v>21280</v>
      </c>
      <c r="L336" s="322">
        <v>20365</v>
      </c>
      <c r="M336" s="79">
        <v>81015</v>
      </c>
      <c r="N336" s="322">
        <v>70479</v>
      </c>
      <c r="O336" s="323">
        <f t="shared" si="106"/>
        <v>173557</v>
      </c>
      <c r="P336" s="638">
        <f t="shared" si="116"/>
        <v>173557</v>
      </c>
      <c r="Q336" s="322">
        <v>614</v>
      </c>
      <c r="R336" s="90">
        <f t="shared" si="102"/>
        <v>5785.2333333333336</v>
      </c>
      <c r="S336" s="324">
        <f t="shared" si="107"/>
        <v>167410</v>
      </c>
      <c r="T336" s="638">
        <f t="shared" si="117"/>
        <v>167410</v>
      </c>
      <c r="U336" s="322">
        <v>1605</v>
      </c>
      <c r="V336" s="80">
        <f t="shared" si="103"/>
        <v>5580.333333333333</v>
      </c>
      <c r="W336" s="79"/>
      <c r="X336" s="322"/>
      <c r="Y336" s="79"/>
      <c r="Z336" s="322"/>
      <c r="AA336" s="79"/>
      <c r="AB336" s="322"/>
      <c r="AC336" s="79"/>
      <c r="AD336" s="322"/>
      <c r="AE336" s="323">
        <f t="shared" si="108"/>
        <v>0</v>
      </c>
      <c r="AF336" s="638">
        <f t="shared" si="118"/>
        <v>0</v>
      </c>
      <c r="AG336" s="322"/>
      <c r="AH336" s="90">
        <f t="shared" si="109"/>
        <v>0</v>
      </c>
      <c r="AI336" s="80">
        <f t="shared" si="110"/>
        <v>0</v>
      </c>
      <c r="AJ336" s="638">
        <f t="shared" si="119"/>
        <v>0</v>
      </c>
      <c r="AK336" s="322"/>
      <c r="AL336" s="80">
        <f t="shared" si="111"/>
        <v>0</v>
      </c>
      <c r="AM336" s="79"/>
      <c r="AN336" s="322"/>
      <c r="AO336" s="79">
        <v>4971</v>
      </c>
      <c r="AP336" s="322">
        <v>5339</v>
      </c>
      <c r="AQ336" s="79">
        <v>2007</v>
      </c>
      <c r="AR336" s="322">
        <v>1429</v>
      </c>
      <c r="AS336" s="79">
        <v>5750</v>
      </c>
      <c r="AT336" s="322">
        <v>4546</v>
      </c>
      <c r="AU336" s="325">
        <f t="shared" si="112"/>
        <v>12728</v>
      </c>
      <c r="AV336" s="90">
        <f t="shared" si="104"/>
        <v>530.33333333333337</v>
      </c>
      <c r="AW336" s="324">
        <f t="shared" si="113"/>
        <v>11314</v>
      </c>
      <c r="AX336" s="80">
        <f t="shared" si="105"/>
        <v>471.41666666666669</v>
      </c>
      <c r="AY336" s="326">
        <f t="shared" si="114"/>
        <v>6315.5666666666666</v>
      </c>
      <c r="AZ336" s="80">
        <f t="shared" si="115"/>
        <v>6051.75</v>
      </c>
    </row>
    <row r="337" spans="1:52">
      <c r="A337" s="98" t="s">
        <v>596</v>
      </c>
      <c r="B337" s="98" t="s">
        <v>665</v>
      </c>
      <c r="C337" s="231">
        <v>199281</v>
      </c>
      <c r="D337" s="360">
        <v>5</v>
      </c>
      <c r="E337" s="162" t="s">
        <v>442</v>
      </c>
      <c r="F337" s="163" t="s">
        <v>442</v>
      </c>
      <c r="G337" s="79"/>
      <c r="H337" s="322"/>
      <c r="I337" s="79">
        <v>59243</v>
      </c>
      <c r="J337" s="322">
        <v>61635</v>
      </c>
      <c r="K337" s="79">
        <v>12991</v>
      </c>
      <c r="L337" s="322">
        <v>15046</v>
      </c>
      <c r="M337" s="79">
        <v>66766</v>
      </c>
      <c r="N337" s="322">
        <v>70251</v>
      </c>
      <c r="O337" s="323">
        <f t="shared" si="106"/>
        <v>139000</v>
      </c>
      <c r="P337" s="638">
        <f t="shared" si="116"/>
        <v>139000</v>
      </c>
      <c r="Q337" s="322">
        <v>0</v>
      </c>
      <c r="R337" s="90">
        <f t="shared" si="102"/>
        <v>4633.333333333333</v>
      </c>
      <c r="S337" s="324">
        <f t="shared" si="107"/>
        <v>146932</v>
      </c>
      <c r="T337" s="638">
        <f t="shared" si="117"/>
        <v>146932</v>
      </c>
      <c r="U337" s="322">
        <v>0</v>
      </c>
      <c r="V337" s="80">
        <f t="shared" si="103"/>
        <v>4897.7333333333336</v>
      </c>
      <c r="W337" s="79"/>
      <c r="X337" s="322"/>
      <c r="Y337" s="79"/>
      <c r="Z337" s="322"/>
      <c r="AA337" s="79"/>
      <c r="AB337" s="322"/>
      <c r="AC337" s="79"/>
      <c r="AD337" s="322"/>
      <c r="AE337" s="323">
        <f t="shared" si="108"/>
        <v>0</v>
      </c>
      <c r="AF337" s="638">
        <f t="shared" si="118"/>
        <v>0</v>
      </c>
      <c r="AG337" s="322"/>
      <c r="AH337" s="90">
        <f t="shared" si="109"/>
        <v>0</v>
      </c>
      <c r="AI337" s="80">
        <f t="shared" si="110"/>
        <v>0</v>
      </c>
      <c r="AJ337" s="638">
        <f t="shared" si="119"/>
        <v>0</v>
      </c>
      <c r="AK337" s="322"/>
      <c r="AL337" s="80">
        <f t="shared" si="111"/>
        <v>0</v>
      </c>
      <c r="AM337" s="79"/>
      <c r="AN337" s="322"/>
      <c r="AO337" s="79">
        <v>3201</v>
      </c>
      <c r="AP337" s="322">
        <v>3669</v>
      </c>
      <c r="AQ337" s="79">
        <v>2165</v>
      </c>
      <c r="AR337" s="322">
        <v>2682</v>
      </c>
      <c r="AS337" s="79">
        <v>3656</v>
      </c>
      <c r="AT337" s="322">
        <v>3744</v>
      </c>
      <c r="AU337" s="325">
        <f t="shared" si="112"/>
        <v>9022</v>
      </c>
      <c r="AV337" s="90">
        <f t="shared" si="104"/>
        <v>375.91666666666669</v>
      </c>
      <c r="AW337" s="324">
        <f t="shared" si="113"/>
        <v>10095</v>
      </c>
      <c r="AX337" s="80">
        <f t="shared" si="105"/>
        <v>420.625</v>
      </c>
      <c r="AY337" s="326">
        <f t="shared" si="114"/>
        <v>5009.25</v>
      </c>
      <c r="AZ337" s="80">
        <f t="shared" si="115"/>
        <v>5318.3583333333336</v>
      </c>
    </row>
    <row r="338" spans="1:52">
      <c r="A338" s="98" t="s">
        <v>596</v>
      </c>
      <c r="B338" s="99" t="s">
        <v>668</v>
      </c>
      <c r="C338" s="183">
        <v>199999</v>
      </c>
      <c r="D338" s="184">
        <v>5</v>
      </c>
      <c r="E338" s="162" t="s">
        <v>442</v>
      </c>
      <c r="F338" s="163" t="s">
        <v>442</v>
      </c>
      <c r="G338" s="79"/>
      <c r="H338" s="322"/>
      <c r="I338" s="79">
        <v>70012</v>
      </c>
      <c r="J338" s="322">
        <v>73028</v>
      </c>
      <c r="K338" s="79">
        <v>11742</v>
      </c>
      <c r="L338" s="322">
        <v>10745</v>
      </c>
      <c r="M338" s="79">
        <v>76900</v>
      </c>
      <c r="N338" s="322">
        <v>84020</v>
      </c>
      <c r="O338" s="323">
        <f t="shared" si="106"/>
        <v>158654</v>
      </c>
      <c r="P338" s="638">
        <f t="shared" si="116"/>
        <v>158654</v>
      </c>
      <c r="Q338" s="322">
        <v>0</v>
      </c>
      <c r="R338" s="90">
        <f t="shared" si="102"/>
        <v>5288.4666666666662</v>
      </c>
      <c r="S338" s="324">
        <f t="shared" si="107"/>
        <v>167793</v>
      </c>
      <c r="T338" s="638">
        <f t="shared" si="117"/>
        <v>167793</v>
      </c>
      <c r="U338" s="322">
        <v>0</v>
      </c>
      <c r="V338" s="80">
        <f t="shared" si="103"/>
        <v>5593.1</v>
      </c>
      <c r="W338" s="79"/>
      <c r="X338" s="322"/>
      <c r="Y338" s="79"/>
      <c r="Z338" s="322"/>
      <c r="AA338" s="79"/>
      <c r="AB338" s="322"/>
      <c r="AC338" s="79"/>
      <c r="AD338" s="322"/>
      <c r="AE338" s="323">
        <f t="shared" si="108"/>
        <v>0</v>
      </c>
      <c r="AF338" s="638">
        <f t="shared" si="118"/>
        <v>0</v>
      </c>
      <c r="AG338" s="322"/>
      <c r="AH338" s="90">
        <f t="shared" si="109"/>
        <v>0</v>
      </c>
      <c r="AI338" s="80">
        <f t="shared" si="110"/>
        <v>0</v>
      </c>
      <c r="AJ338" s="638">
        <f t="shared" si="119"/>
        <v>0</v>
      </c>
      <c r="AK338" s="322"/>
      <c r="AL338" s="80">
        <f t="shared" si="111"/>
        <v>0</v>
      </c>
      <c r="AM338" s="79"/>
      <c r="AN338" s="322"/>
      <c r="AO338" s="79">
        <v>2589</v>
      </c>
      <c r="AP338" s="322">
        <v>3404</v>
      </c>
      <c r="AQ338" s="79">
        <v>1690</v>
      </c>
      <c r="AR338" s="322">
        <v>1310</v>
      </c>
      <c r="AS338" s="79">
        <v>3700</v>
      </c>
      <c r="AT338" s="322">
        <v>4297</v>
      </c>
      <c r="AU338" s="325">
        <f t="shared" si="112"/>
        <v>7979</v>
      </c>
      <c r="AV338" s="90">
        <f t="shared" si="104"/>
        <v>332.45833333333331</v>
      </c>
      <c r="AW338" s="324">
        <f t="shared" si="113"/>
        <v>9011</v>
      </c>
      <c r="AX338" s="80">
        <f t="shared" si="105"/>
        <v>375.45833333333331</v>
      </c>
      <c r="AY338" s="326">
        <f t="shared" si="114"/>
        <v>5620.9249999999993</v>
      </c>
      <c r="AZ338" s="80">
        <f t="shared" si="115"/>
        <v>5968.5583333333334</v>
      </c>
    </row>
    <row r="339" spans="1:52">
      <c r="A339" s="98" t="s">
        <v>596</v>
      </c>
      <c r="B339" s="98" t="s">
        <v>666</v>
      </c>
      <c r="C339" s="231">
        <v>198507</v>
      </c>
      <c r="D339" s="359">
        <v>6</v>
      </c>
      <c r="E339" s="162" t="s">
        <v>442</v>
      </c>
      <c r="F339" s="163" t="s">
        <v>442</v>
      </c>
      <c r="G339" s="79"/>
      <c r="H339" s="322"/>
      <c r="I339" s="79">
        <v>36675</v>
      </c>
      <c r="J339" s="322">
        <v>38820</v>
      </c>
      <c r="K339" s="79">
        <v>6764</v>
      </c>
      <c r="L339" s="322">
        <v>6511</v>
      </c>
      <c r="M339" s="79">
        <v>42008</v>
      </c>
      <c r="N339" s="322">
        <v>43790</v>
      </c>
      <c r="O339" s="323">
        <f t="shared" si="106"/>
        <v>85447</v>
      </c>
      <c r="P339" s="638">
        <f t="shared" si="116"/>
        <v>85447</v>
      </c>
      <c r="Q339" s="322">
        <v>0</v>
      </c>
      <c r="R339" s="90">
        <f t="shared" si="102"/>
        <v>2848.2333333333331</v>
      </c>
      <c r="S339" s="324">
        <f t="shared" si="107"/>
        <v>89121</v>
      </c>
      <c r="T339" s="638">
        <f t="shared" si="117"/>
        <v>89121</v>
      </c>
      <c r="U339" s="322">
        <v>0</v>
      </c>
      <c r="V339" s="80">
        <f t="shared" si="103"/>
        <v>2970.7</v>
      </c>
      <c r="W339" s="79"/>
      <c r="X339" s="322"/>
      <c r="Y339" s="79"/>
      <c r="Z339" s="322"/>
      <c r="AA339" s="79"/>
      <c r="AB339" s="322"/>
      <c r="AC339" s="79"/>
      <c r="AD339" s="322"/>
      <c r="AE339" s="323">
        <f t="shared" si="108"/>
        <v>0</v>
      </c>
      <c r="AF339" s="638">
        <f t="shared" si="118"/>
        <v>0</v>
      </c>
      <c r="AG339" s="322"/>
      <c r="AH339" s="90">
        <f t="shared" si="109"/>
        <v>0</v>
      </c>
      <c r="AI339" s="80">
        <f t="shared" si="110"/>
        <v>0</v>
      </c>
      <c r="AJ339" s="638">
        <f t="shared" si="119"/>
        <v>0</v>
      </c>
      <c r="AK339" s="322"/>
      <c r="AL339" s="80">
        <f t="shared" si="111"/>
        <v>0</v>
      </c>
      <c r="AM339" s="79"/>
      <c r="AN339" s="322"/>
      <c r="AO339" s="79">
        <v>342</v>
      </c>
      <c r="AP339" s="322">
        <v>344</v>
      </c>
      <c r="AQ339" s="79">
        <v>302</v>
      </c>
      <c r="AR339" s="322">
        <v>246</v>
      </c>
      <c r="AS339" s="79">
        <v>704</v>
      </c>
      <c r="AT339" s="322">
        <v>291</v>
      </c>
      <c r="AU339" s="325">
        <f t="shared" si="112"/>
        <v>1348</v>
      </c>
      <c r="AV339" s="90">
        <f t="shared" si="104"/>
        <v>56.166666666666664</v>
      </c>
      <c r="AW339" s="324">
        <f t="shared" si="113"/>
        <v>881</v>
      </c>
      <c r="AX339" s="80">
        <f t="shared" si="105"/>
        <v>36.708333333333336</v>
      </c>
      <c r="AY339" s="326">
        <f t="shared" si="114"/>
        <v>2904.3999999999996</v>
      </c>
      <c r="AZ339" s="80">
        <f t="shared" si="115"/>
        <v>3007.4083333333333</v>
      </c>
    </row>
    <row r="340" spans="1:52">
      <c r="A340" s="98" t="s">
        <v>596</v>
      </c>
      <c r="B340" s="98" t="s">
        <v>667</v>
      </c>
      <c r="C340" s="231">
        <v>199111</v>
      </c>
      <c r="D340" s="359">
        <v>6</v>
      </c>
      <c r="E340" s="162" t="s">
        <v>442</v>
      </c>
      <c r="F340" s="163" t="s">
        <v>442</v>
      </c>
      <c r="G340" s="79"/>
      <c r="H340" s="322"/>
      <c r="I340" s="79">
        <v>43397</v>
      </c>
      <c r="J340" s="322">
        <v>42829</v>
      </c>
      <c r="K340" s="79">
        <v>4134</v>
      </c>
      <c r="L340" s="322">
        <v>3902</v>
      </c>
      <c r="M340" s="79">
        <v>47400</v>
      </c>
      <c r="N340" s="322">
        <v>46290</v>
      </c>
      <c r="O340" s="323">
        <f t="shared" si="106"/>
        <v>94931</v>
      </c>
      <c r="P340" s="638">
        <f t="shared" si="116"/>
        <v>94931</v>
      </c>
      <c r="Q340" s="322">
        <v>0</v>
      </c>
      <c r="R340" s="90">
        <f t="shared" ref="R340:R403" si="120">+O340/30</f>
        <v>3164.3666666666668</v>
      </c>
      <c r="S340" s="324">
        <f t="shared" si="107"/>
        <v>93021</v>
      </c>
      <c r="T340" s="638">
        <f t="shared" si="117"/>
        <v>93021</v>
      </c>
      <c r="U340" s="322">
        <v>0</v>
      </c>
      <c r="V340" s="80">
        <f t="shared" ref="V340:V403" si="121">+S340/30</f>
        <v>3100.7</v>
      </c>
      <c r="W340" s="79"/>
      <c r="X340" s="322"/>
      <c r="Y340" s="79"/>
      <c r="Z340" s="322"/>
      <c r="AA340" s="79"/>
      <c r="AB340" s="322"/>
      <c r="AC340" s="79"/>
      <c r="AD340" s="322"/>
      <c r="AE340" s="323">
        <f t="shared" si="108"/>
        <v>0</v>
      </c>
      <c r="AF340" s="638">
        <f t="shared" si="118"/>
        <v>0</v>
      </c>
      <c r="AG340" s="322"/>
      <c r="AH340" s="90">
        <f t="shared" si="109"/>
        <v>0</v>
      </c>
      <c r="AI340" s="80">
        <f t="shared" si="110"/>
        <v>0</v>
      </c>
      <c r="AJ340" s="638">
        <f t="shared" si="119"/>
        <v>0</v>
      </c>
      <c r="AK340" s="322"/>
      <c r="AL340" s="80">
        <f t="shared" si="111"/>
        <v>0</v>
      </c>
      <c r="AM340" s="79"/>
      <c r="AN340" s="322"/>
      <c r="AO340" s="79">
        <v>123</v>
      </c>
      <c r="AP340" s="322">
        <v>125</v>
      </c>
      <c r="AQ340" s="79">
        <v>3</v>
      </c>
      <c r="AR340" s="322">
        <v>6</v>
      </c>
      <c r="AS340" s="79">
        <v>150</v>
      </c>
      <c r="AT340" s="322">
        <v>159</v>
      </c>
      <c r="AU340" s="325">
        <f t="shared" si="112"/>
        <v>276</v>
      </c>
      <c r="AV340" s="90">
        <f t="shared" ref="AV340:AV403" si="122">+AU340/24</f>
        <v>11.5</v>
      </c>
      <c r="AW340" s="324">
        <f t="shared" si="113"/>
        <v>290</v>
      </c>
      <c r="AX340" s="80">
        <f t="shared" ref="AX340:AX403" si="123">+AW340/24</f>
        <v>12.083333333333334</v>
      </c>
      <c r="AY340" s="326">
        <f t="shared" si="114"/>
        <v>3175.8666666666668</v>
      </c>
      <c r="AZ340" s="80">
        <f t="shared" si="115"/>
        <v>3112.7833333333333</v>
      </c>
    </row>
    <row r="341" spans="1:52">
      <c r="A341" s="94" t="s">
        <v>596</v>
      </c>
      <c r="B341" s="94" t="s">
        <v>597</v>
      </c>
      <c r="C341" s="232">
        <v>197887</v>
      </c>
      <c r="D341" s="95">
        <v>8</v>
      </c>
      <c r="E341" s="162" t="s">
        <v>442</v>
      </c>
      <c r="F341" s="163" t="s">
        <v>442</v>
      </c>
      <c r="G341" s="79"/>
      <c r="H341" s="322"/>
      <c r="I341" s="79">
        <v>79736.399999999994</v>
      </c>
      <c r="J341" s="351">
        <v>86010</v>
      </c>
      <c r="K341" s="79">
        <v>27216.6</v>
      </c>
      <c r="L341" s="351">
        <v>28560</v>
      </c>
      <c r="M341" s="79">
        <v>89791.5</v>
      </c>
      <c r="N341" s="351">
        <v>93210</v>
      </c>
      <c r="O341" s="323">
        <f t="shared" si="106"/>
        <v>196744.5</v>
      </c>
      <c r="P341" s="638">
        <f t="shared" si="116"/>
        <v>196744.5</v>
      </c>
      <c r="Q341" s="351">
        <v>15152.699999999999</v>
      </c>
      <c r="R341" s="90">
        <f t="shared" si="120"/>
        <v>6558.15</v>
      </c>
      <c r="S341" s="324">
        <f t="shared" si="107"/>
        <v>207780</v>
      </c>
      <c r="T341" s="638">
        <f t="shared" si="117"/>
        <v>207780</v>
      </c>
      <c r="U341" s="351">
        <v>16126.199999999999</v>
      </c>
      <c r="V341" s="80">
        <f t="shared" si="121"/>
        <v>6926</v>
      </c>
      <c r="W341" s="79"/>
      <c r="X341" s="322"/>
      <c r="Y341" s="79"/>
      <c r="Z341" s="322"/>
      <c r="AA341" s="79"/>
      <c r="AB341" s="322"/>
      <c r="AC341" s="79"/>
      <c r="AD341" s="322"/>
      <c r="AE341" s="323">
        <f t="shared" si="108"/>
        <v>0</v>
      </c>
      <c r="AF341" s="638">
        <f t="shared" si="118"/>
        <v>0</v>
      </c>
      <c r="AG341" s="322"/>
      <c r="AH341" s="90">
        <f t="shared" si="109"/>
        <v>0</v>
      </c>
      <c r="AI341" s="80">
        <f t="shared" si="110"/>
        <v>0</v>
      </c>
      <c r="AJ341" s="638">
        <f t="shared" si="119"/>
        <v>0</v>
      </c>
      <c r="AK341" s="322"/>
      <c r="AL341" s="80">
        <f t="shared" si="111"/>
        <v>0</v>
      </c>
      <c r="AM341" s="79"/>
      <c r="AN341" s="322"/>
      <c r="AO341" s="79"/>
      <c r="AP341" s="322"/>
      <c r="AQ341" s="79"/>
      <c r="AR341" s="322"/>
      <c r="AS341" s="79"/>
      <c r="AT341" s="322"/>
      <c r="AU341" s="325">
        <f t="shared" si="112"/>
        <v>0</v>
      </c>
      <c r="AV341" s="90">
        <f t="shared" si="122"/>
        <v>0</v>
      </c>
      <c r="AW341" s="324">
        <f t="shared" si="113"/>
        <v>0</v>
      </c>
      <c r="AX341" s="80">
        <f t="shared" si="123"/>
        <v>0</v>
      </c>
      <c r="AY341" s="326">
        <f t="shared" si="114"/>
        <v>6558.15</v>
      </c>
      <c r="AZ341" s="80">
        <f t="shared" si="115"/>
        <v>6926</v>
      </c>
    </row>
    <row r="342" spans="1:52">
      <c r="A342" s="94" t="s">
        <v>596</v>
      </c>
      <c r="B342" s="94" t="s">
        <v>598</v>
      </c>
      <c r="C342" s="232">
        <v>198154</v>
      </c>
      <c r="D342" s="95">
        <v>8</v>
      </c>
      <c r="E342" s="162" t="s">
        <v>442</v>
      </c>
      <c r="F342" s="163" t="s">
        <v>442</v>
      </c>
      <c r="G342" s="79"/>
      <c r="H342" s="322"/>
      <c r="I342" s="79">
        <v>93353.1</v>
      </c>
      <c r="J342" s="351">
        <v>103050</v>
      </c>
      <c r="K342" s="79">
        <v>23851.200000000001</v>
      </c>
      <c r="L342" s="351">
        <v>27450</v>
      </c>
      <c r="M342" s="79">
        <v>107288.4</v>
      </c>
      <c r="N342" s="351">
        <v>114660</v>
      </c>
      <c r="O342" s="323">
        <f t="shared" si="106"/>
        <v>224492.7</v>
      </c>
      <c r="P342" s="638">
        <f t="shared" si="116"/>
        <v>224492.7</v>
      </c>
      <c r="Q342" s="351">
        <v>4500.8999999999996</v>
      </c>
      <c r="R342" s="90">
        <f t="shared" si="120"/>
        <v>7483.09</v>
      </c>
      <c r="S342" s="324">
        <f t="shared" si="107"/>
        <v>245160</v>
      </c>
      <c r="T342" s="638">
        <f t="shared" si="117"/>
        <v>245160</v>
      </c>
      <c r="U342" s="351">
        <v>6239.1</v>
      </c>
      <c r="V342" s="80">
        <f t="shared" si="121"/>
        <v>8172</v>
      </c>
      <c r="W342" s="79"/>
      <c r="X342" s="322"/>
      <c r="Y342" s="79"/>
      <c r="Z342" s="322"/>
      <c r="AA342" s="79"/>
      <c r="AB342" s="322"/>
      <c r="AC342" s="79"/>
      <c r="AD342" s="322"/>
      <c r="AE342" s="323">
        <f t="shared" si="108"/>
        <v>0</v>
      </c>
      <c r="AF342" s="638">
        <f t="shared" si="118"/>
        <v>0</v>
      </c>
      <c r="AG342" s="322"/>
      <c r="AH342" s="90">
        <f t="shared" si="109"/>
        <v>0</v>
      </c>
      <c r="AI342" s="80">
        <f t="shared" si="110"/>
        <v>0</v>
      </c>
      <c r="AJ342" s="638">
        <f t="shared" si="119"/>
        <v>0</v>
      </c>
      <c r="AK342" s="322"/>
      <c r="AL342" s="80">
        <f t="shared" si="111"/>
        <v>0</v>
      </c>
      <c r="AM342" s="79"/>
      <c r="AN342" s="322"/>
      <c r="AO342" s="79"/>
      <c r="AP342" s="322"/>
      <c r="AQ342" s="79"/>
      <c r="AR342" s="322"/>
      <c r="AS342" s="79"/>
      <c r="AT342" s="322"/>
      <c r="AU342" s="325">
        <f t="shared" si="112"/>
        <v>0</v>
      </c>
      <c r="AV342" s="90">
        <f t="shared" si="122"/>
        <v>0</v>
      </c>
      <c r="AW342" s="324">
        <f t="shared" si="113"/>
        <v>0</v>
      </c>
      <c r="AX342" s="80">
        <f t="shared" si="123"/>
        <v>0</v>
      </c>
      <c r="AY342" s="326">
        <f t="shared" si="114"/>
        <v>7483.09</v>
      </c>
      <c r="AZ342" s="80">
        <f t="shared" si="115"/>
        <v>8172</v>
      </c>
    </row>
    <row r="343" spans="1:52">
      <c r="A343" s="94" t="s">
        <v>596</v>
      </c>
      <c r="B343" s="94" t="s">
        <v>599</v>
      </c>
      <c r="C343" s="232">
        <v>198233</v>
      </c>
      <c r="D343" s="95">
        <v>8</v>
      </c>
      <c r="E343" s="162" t="s">
        <v>442</v>
      </c>
      <c r="F343" s="163" t="s">
        <v>442</v>
      </c>
      <c r="G343" s="79"/>
      <c r="H343" s="322"/>
      <c r="I343" s="79">
        <v>63498</v>
      </c>
      <c r="J343" s="351">
        <v>65550</v>
      </c>
      <c r="K343" s="79">
        <v>26729.4</v>
      </c>
      <c r="L343" s="351">
        <v>25620</v>
      </c>
      <c r="M343" s="79">
        <v>70469.399999999994</v>
      </c>
      <c r="N343" s="351">
        <v>68910</v>
      </c>
      <c r="O343" s="323">
        <f t="shared" si="106"/>
        <v>160696.79999999999</v>
      </c>
      <c r="P343" s="638">
        <f t="shared" si="116"/>
        <v>160696.79999999999</v>
      </c>
      <c r="Q343" s="351">
        <v>5125.8</v>
      </c>
      <c r="R343" s="90">
        <f t="shared" si="120"/>
        <v>5356.5599999999995</v>
      </c>
      <c r="S343" s="324">
        <f t="shared" si="107"/>
        <v>160080</v>
      </c>
      <c r="T343" s="638">
        <f t="shared" si="117"/>
        <v>160080</v>
      </c>
      <c r="U343" s="351">
        <v>7110.6</v>
      </c>
      <c r="V343" s="80">
        <f t="shared" si="121"/>
        <v>5336</v>
      </c>
      <c r="W343" s="79"/>
      <c r="X343" s="322"/>
      <c r="Y343" s="79"/>
      <c r="Z343" s="322"/>
      <c r="AA343" s="79"/>
      <c r="AB343" s="322"/>
      <c r="AC343" s="79"/>
      <c r="AD343" s="322"/>
      <c r="AE343" s="323">
        <f t="shared" si="108"/>
        <v>0</v>
      </c>
      <c r="AF343" s="638">
        <f t="shared" si="118"/>
        <v>0</v>
      </c>
      <c r="AG343" s="322"/>
      <c r="AH343" s="90">
        <f t="shared" si="109"/>
        <v>0</v>
      </c>
      <c r="AI343" s="80">
        <f t="shared" si="110"/>
        <v>0</v>
      </c>
      <c r="AJ343" s="638">
        <f t="shared" si="119"/>
        <v>0</v>
      </c>
      <c r="AK343" s="322"/>
      <c r="AL343" s="80">
        <f t="shared" si="111"/>
        <v>0</v>
      </c>
      <c r="AM343" s="79"/>
      <c r="AN343" s="322"/>
      <c r="AO343" s="79"/>
      <c r="AP343" s="322"/>
      <c r="AQ343" s="79"/>
      <c r="AR343" s="322"/>
      <c r="AS343" s="79"/>
      <c r="AT343" s="322"/>
      <c r="AU343" s="325">
        <f t="shared" si="112"/>
        <v>0</v>
      </c>
      <c r="AV343" s="90">
        <f t="shared" si="122"/>
        <v>0</v>
      </c>
      <c r="AW343" s="324">
        <f t="shared" si="113"/>
        <v>0</v>
      </c>
      <c r="AX343" s="80">
        <f t="shared" si="123"/>
        <v>0</v>
      </c>
      <c r="AY343" s="326">
        <f t="shared" si="114"/>
        <v>5356.5599999999995</v>
      </c>
      <c r="AZ343" s="80">
        <f t="shared" si="115"/>
        <v>5336</v>
      </c>
    </row>
    <row r="344" spans="1:52">
      <c r="A344" s="94" t="s">
        <v>596</v>
      </c>
      <c r="B344" s="94" t="s">
        <v>600</v>
      </c>
      <c r="C344" s="232">
        <v>198251</v>
      </c>
      <c r="D344" s="95">
        <v>8</v>
      </c>
      <c r="E344" s="162" t="s">
        <v>442</v>
      </c>
      <c r="F344" s="163" t="s">
        <v>442</v>
      </c>
      <c r="G344" s="79"/>
      <c r="H344" s="322"/>
      <c r="I344" s="79">
        <v>69392.100000000006</v>
      </c>
      <c r="J344" s="351">
        <v>68550</v>
      </c>
      <c r="K344" s="79">
        <v>22673.7</v>
      </c>
      <c r="L344" s="351">
        <v>23610</v>
      </c>
      <c r="M344" s="79">
        <v>75305.399999999994</v>
      </c>
      <c r="N344" s="351">
        <v>77370</v>
      </c>
      <c r="O344" s="323">
        <f t="shared" si="106"/>
        <v>167371.20000000001</v>
      </c>
      <c r="P344" s="638">
        <f t="shared" si="116"/>
        <v>167371.20000000001</v>
      </c>
      <c r="Q344" s="351">
        <v>11601.6</v>
      </c>
      <c r="R344" s="90">
        <f t="shared" si="120"/>
        <v>5579.04</v>
      </c>
      <c r="S344" s="324">
        <f t="shared" si="107"/>
        <v>169530</v>
      </c>
      <c r="T344" s="638">
        <f t="shared" si="117"/>
        <v>169530</v>
      </c>
      <c r="U344" s="351">
        <v>10050.9</v>
      </c>
      <c r="V344" s="80">
        <f t="shared" si="121"/>
        <v>5651</v>
      </c>
      <c r="W344" s="79"/>
      <c r="X344" s="322"/>
      <c r="Y344" s="79"/>
      <c r="Z344" s="322"/>
      <c r="AA344" s="79"/>
      <c r="AB344" s="322"/>
      <c r="AC344" s="79"/>
      <c r="AD344" s="322"/>
      <c r="AE344" s="323">
        <f t="shared" si="108"/>
        <v>0</v>
      </c>
      <c r="AF344" s="638">
        <f t="shared" si="118"/>
        <v>0</v>
      </c>
      <c r="AG344" s="322"/>
      <c r="AH344" s="90">
        <f t="shared" si="109"/>
        <v>0</v>
      </c>
      <c r="AI344" s="80">
        <f t="shared" si="110"/>
        <v>0</v>
      </c>
      <c r="AJ344" s="638">
        <f t="shared" si="119"/>
        <v>0</v>
      </c>
      <c r="AK344" s="322"/>
      <c r="AL344" s="80">
        <f t="shared" si="111"/>
        <v>0</v>
      </c>
      <c r="AM344" s="79"/>
      <c r="AN344" s="322"/>
      <c r="AO344" s="79"/>
      <c r="AP344" s="322"/>
      <c r="AQ344" s="79"/>
      <c r="AR344" s="322"/>
      <c r="AS344" s="79"/>
      <c r="AT344" s="322"/>
      <c r="AU344" s="325">
        <f t="shared" si="112"/>
        <v>0</v>
      </c>
      <c r="AV344" s="90">
        <f t="shared" si="122"/>
        <v>0</v>
      </c>
      <c r="AW344" s="324">
        <f t="shared" si="113"/>
        <v>0</v>
      </c>
      <c r="AX344" s="80">
        <f t="shared" si="123"/>
        <v>0</v>
      </c>
      <c r="AY344" s="326">
        <f t="shared" si="114"/>
        <v>5579.04</v>
      </c>
      <c r="AZ344" s="80">
        <f t="shared" si="115"/>
        <v>5651</v>
      </c>
    </row>
    <row r="345" spans="1:52">
      <c r="A345" s="94" t="s">
        <v>596</v>
      </c>
      <c r="B345" s="94" t="s">
        <v>601</v>
      </c>
      <c r="C345" s="232">
        <v>198260</v>
      </c>
      <c r="D345" s="95">
        <v>8</v>
      </c>
      <c r="E345" s="162" t="s">
        <v>442</v>
      </c>
      <c r="F345" s="163" t="s">
        <v>442</v>
      </c>
      <c r="G345" s="79"/>
      <c r="H345" s="322"/>
      <c r="I345" s="79">
        <v>196483.20000000001</v>
      </c>
      <c r="J345" s="351">
        <v>206700</v>
      </c>
      <c r="K345" s="79">
        <v>55141.8</v>
      </c>
      <c r="L345" s="351">
        <v>57900</v>
      </c>
      <c r="M345" s="79">
        <v>213131.4</v>
      </c>
      <c r="N345" s="351">
        <v>223560</v>
      </c>
      <c r="O345" s="323">
        <f t="shared" si="106"/>
        <v>464756.4</v>
      </c>
      <c r="P345" s="638">
        <f t="shared" si="116"/>
        <v>464756.4</v>
      </c>
      <c r="Q345" s="351">
        <v>6760.8</v>
      </c>
      <c r="R345" s="90">
        <f t="shared" si="120"/>
        <v>15491.880000000001</v>
      </c>
      <c r="S345" s="324">
        <f t="shared" si="107"/>
        <v>488160</v>
      </c>
      <c r="T345" s="638">
        <f t="shared" si="117"/>
        <v>488160</v>
      </c>
      <c r="U345" s="351">
        <v>9349.5</v>
      </c>
      <c r="V345" s="80">
        <f t="shared" si="121"/>
        <v>16272</v>
      </c>
      <c r="W345" s="79"/>
      <c r="X345" s="322"/>
      <c r="Y345" s="79"/>
      <c r="Z345" s="322"/>
      <c r="AA345" s="79"/>
      <c r="AB345" s="322"/>
      <c r="AC345" s="79"/>
      <c r="AD345" s="322"/>
      <c r="AE345" s="323">
        <f t="shared" si="108"/>
        <v>0</v>
      </c>
      <c r="AF345" s="638">
        <f t="shared" si="118"/>
        <v>0</v>
      </c>
      <c r="AG345" s="322"/>
      <c r="AH345" s="90">
        <f t="shared" si="109"/>
        <v>0</v>
      </c>
      <c r="AI345" s="80">
        <f t="shared" si="110"/>
        <v>0</v>
      </c>
      <c r="AJ345" s="638">
        <f t="shared" si="119"/>
        <v>0</v>
      </c>
      <c r="AK345" s="322"/>
      <c r="AL345" s="80">
        <f t="shared" si="111"/>
        <v>0</v>
      </c>
      <c r="AM345" s="79"/>
      <c r="AN345" s="322"/>
      <c r="AO345" s="79"/>
      <c r="AP345" s="322"/>
      <c r="AQ345" s="79"/>
      <c r="AR345" s="322"/>
      <c r="AS345" s="79"/>
      <c r="AT345" s="322"/>
      <c r="AU345" s="325">
        <f t="shared" si="112"/>
        <v>0</v>
      </c>
      <c r="AV345" s="90">
        <f t="shared" si="122"/>
        <v>0</v>
      </c>
      <c r="AW345" s="324">
        <f t="shared" si="113"/>
        <v>0</v>
      </c>
      <c r="AX345" s="80">
        <f t="shared" si="123"/>
        <v>0</v>
      </c>
      <c r="AY345" s="326">
        <f t="shared" si="114"/>
        <v>15491.880000000001</v>
      </c>
      <c r="AZ345" s="80">
        <f t="shared" si="115"/>
        <v>16272</v>
      </c>
    </row>
    <row r="346" spans="1:52">
      <c r="A346" s="94" t="s">
        <v>596</v>
      </c>
      <c r="B346" s="97" t="s">
        <v>616</v>
      </c>
      <c r="C346" s="232">
        <v>198455</v>
      </c>
      <c r="D346" s="104">
        <v>8</v>
      </c>
      <c r="E346" s="162" t="s">
        <v>442</v>
      </c>
      <c r="F346" s="163" t="s">
        <v>442</v>
      </c>
      <c r="G346" s="79"/>
      <c r="H346" s="322"/>
      <c r="I346" s="79">
        <v>62991.6</v>
      </c>
      <c r="J346" s="351">
        <v>61440</v>
      </c>
      <c r="K346" s="79">
        <v>24721.200000000001</v>
      </c>
      <c r="L346" s="351">
        <v>25140</v>
      </c>
      <c r="M346" s="79">
        <v>67229.399999999994</v>
      </c>
      <c r="N346" s="351">
        <v>67980</v>
      </c>
      <c r="O346" s="323">
        <f t="shared" si="106"/>
        <v>154942.20000000001</v>
      </c>
      <c r="P346" s="638">
        <f t="shared" si="116"/>
        <v>154942.20000000001</v>
      </c>
      <c r="Q346" s="351">
        <v>2754.3</v>
      </c>
      <c r="R346" s="90">
        <f t="shared" si="120"/>
        <v>5164.7400000000007</v>
      </c>
      <c r="S346" s="324">
        <f t="shared" si="107"/>
        <v>154560</v>
      </c>
      <c r="T346" s="638">
        <f t="shared" si="117"/>
        <v>154560</v>
      </c>
      <c r="U346" s="351">
        <v>3572.7000000000003</v>
      </c>
      <c r="V346" s="80">
        <f t="shared" si="121"/>
        <v>5152</v>
      </c>
      <c r="W346" s="79"/>
      <c r="X346" s="322"/>
      <c r="Y346" s="79"/>
      <c r="Z346" s="322"/>
      <c r="AA346" s="79"/>
      <c r="AB346" s="322"/>
      <c r="AC346" s="79"/>
      <c r="AD346" s="322"/>
      <c r="AE346" s="323">
        <f t="shared" si="108"/>
        <v>0</v>
      </c>
      <c r="AF346" s="638">
        <f t="shared" si="118"/>
        <v>0</v>
      </c>
      <c r="AG346" s="322"/>
      <c r="AH346" s="90">
        <f t="shared" si="109"/>
        <v>0</v>
      </c>
      <c r="AI346" s="80">
        <f t="shared" si="110"/>
        <v>0</v>
      </c>
      <c r="AJ346" s="638">
        <f t="shared" si="119"/>
        <v>0</v>
      </c>
      <c r="AK346" s="322"/>
      <c r="AL346" s="80">
        <f t="shared" si="111"/>
        <v>0</v>
      </c>
      <c r="AM346" s="79"/>
      <c r="AN346" s="322"/>
      <c r="AO346" s="79"/>
      <c r="AP346" s="322"/>
      <c r="AQ346" s="79"/>
      <c r="AR346" s="322"/>
      <c r="AS346" s="79"/>
      <c r="AT346" s="322"/>
      <c r="AU346" s="325">
        <f t="shared" si="112"/>
        <v>0</v>
      </c>
      <c r="AV346" s="90">
        <f t="shared" si="122"/>
        <v>0</v>
      </c>
      <c r="AW346" s="324">
        <f t="shared" si="113"/>
        <v>0</v>
      </c>
      <c r="AX346" s="80">
        <f t="shared" si="123"/>
        <v>0</v>
      </c>
      <c r="AY346" s="326">
        <f t="shared" si="114"/>
        <v>5164.7400000000007</v>
      </c>
      <c r="AZ346" s="80">
        <f t="shared" si="115"/>
        <v>5152</v>
      </c>
    </row>
    <row r="347" spans="1:52">
      <c r="A347" s="94" t="s">
        <v>596</v>
      </c>
      <c r="B347" s="94" t="s">
        <v>602</v>
      </c>
      <c r="C347" s="232">
        <v>198534</v>
      </c>
      <c r="D347" s="104">
        <v>8</v>
      </c>
      <c r="E347" s="162" t="s">
        <v>442</v>
      </c>
      <c r="F347" s="163" t="s">
        <v>442</v>
      </c>
      <c r="G347" s="79"/>
      <c r="H347" s="322"/>
      <c r="I347" s="79">
        <v>144801.29999999999</v>
      </c>
      <c r="J347" s="351">
        <v>142590</v>
      </c>
      <c r="K347" s="79">
        <v>49518</v>
      </c>
      <c r="L347" s="351">
        <v>51810</v>
      </c>
      <c r="M347" s="79">
        <v>146046</v>
      </c>
      <c r="N347" s="351">
        <v>156180</v>
      </c>
      <c r="O347" s="323">
        <f t="shared" si="106"/>
        <v>340365.3</v>
      </c>
      <c r="P347" s="638">
        <f t="shared" si="116"/>
        <v>340365.3</v>
      </c>
      <c r="Q347" s="351">
        <v>6423.9</v>
      </c>
      <c r="R347" s="90">
        <f t="shared" si="120"/>
        <v>11345.51</v>
      </c>
      <c r="S347" s="324">
        <f t="shared" si="107"/>
        <v>350580</v>
      </c>
      <c r="T347" s="638">
        <f t="shared" si="117"/>
        <v>350580</v>
      </c>
      <c r="U347" s="351">
        <v>8471.4</v>
      </c>
      <c r="V347" s="80">
        <f t="shared" si="121"/>
        <v>11686</v>
      </c>
      <c r="W347" s="79"/>
      <c r="X347" s="322"/>
      <c r="Y347" s="79"/>
      <c r="Z347" s="322"/>
      <c r="AA347" s="79"/>
      <c r="AB347" s="322"/>
      <c r="AC347" s="79"/>
      <c r="AD347" s="322"/>
      <c r="AE347" s="323">
        <f t="shared" si="108"/>
        <v>0</v>
      </c>
      <c r="AF347" s="638">
        <f t="shared" si="118"/>
        <v>0</v>
      </c>
      <c r="AG347" s="322"/>
      <c r="AH347" s="90">
        <f t="shared" si="109"/>
        <v>0</v>
      </c>
      <c r="AI347" s="80">
        <f t="shared" si="110"/>
        <v>0</v>
      </c>
      <c r="AJ347" s="638">
        <f t="shared" si="119"/>
        <v>0</v>
      </c>
      <c r="AK347" s="322"/>
      <c r="AL347" s="80">
        <f t="shared" si="111"/>
        <v>0</v>
      </c>
      <c r="AM347" s="79"/>
      <c r="AN347" s="322"/>
      <c r="AO347" s="79"/>
      <c r="AP347" s="322"/>
      <c r="AQ347" s="79"/>
      <c r="AR347" s="322"/>
      <c r="AS347" s="79"/>
      <c r="AT347" s="322"/>
      <c r="AU347" s="325">
        <f t="shared" si="112"/>
        <v>0</v>
      </c>
      <c r="AV347" s="90">
        <f t="shared" si="122"/>
        <v>0</v>
      </c>
      <c r="AW347" s="324">
        <f t="shared" si="113"/>
        <v>0</v>
      </c>
      <c r="AX347" s="80">
        <f t="shared" si="123"/>
        <v>0</v>
      </c>
      <c r="AY347" s="326">
        <f t="shared" si="114"/>
        <v>11345.51</v>
      </c>
      <c r="AZ347" s="80">
        <f t="shared" si="115"/>
        <v>11686</v>
      </c>
    </row>
    <row r="348" spans="1:52">
      <c r="A348" s="94" t="s">
        <v>596</v>
      </c>
      <c r="B348" s="94" t="s">
        <v>603</v>
      </c>
      <c r="C348" s="232">
        <v>198552</v>
      </c>
      <c r="D348" s="104">
        <v>8</v>
      </c>
      <c r="E348" s="162" t="s">
        <v>442</v>
      </c>
      <c r="F348" s="163" t="s">
        <v>442</v>
      </c>
      <c r="G348" s="79"/>
      <c r="H348" s="322"/>
      <c r="I348" s="79">
        <v>87169.5</v>
      </c>
      <c r="J348" s="351">
        <v>95460</v>
      </c>
      <c r="K348" s="79">
        <v>33527.4</v>
      </c>
      <c r="L348" s="351">
        <v>35550</v>
      </c>
      <c r="M348" s="79">
        <v>95282.1</v>
      </c>
      <c r="N348" s="351">
        <v>108150</v>
      </c>
      <c r="O348" s="323">
        <f t="shared" si="106"/>
        <v>215979</v>
      </c>
      <c r="P348" s="638">
        <f t="shared" si="116"/>
        <v>215979</v>
      </c>
      <c r="Q348" s="351">
        <v>2907.9</v>
      </c>
      <c r="R348" s="90">
        <f t="shared" si="120"/>
        <v>7199.3</v>
      </c>
      <c r="S348" s="324">
        <f t="shared" si="107"/>
        <v>239160</v>
      </c>
      <c r="T348" s="638">
        <f t="shared" si="117"/>
        <v>239160</v>
      </c>
      <c r="U348" s="351">
        <v>3055.8</v>
      </c>
      <c r="V348" s="80">
        <f t="shared" si="121"/>
        <v>7972</v>
      </c>
      <c r="W348" s="79"/>
      <c r="X348" s="322"/>
      <c r="Y348" s="79"/>
      <c r="Z348" s="322"/>
      <c r="AA348" s="79"/>
      <c r="AB348" s="322"/>
      <c r="AC348" s="79"/>
      <c r="AD348" s="322"/>
      <c r="AE348" s="323">
        <f t="shared" si="108"/>
        <v>0</v>
      </c>
      <c r="AF348" s="638">
        <f t="shared" si="118"/>
        <v>0</v>
      </c>
      <c r="AG348" s="322"/>
      <c r="AH348" s="90">
        <f t="shared" si="109"/>
        <v>0</v>
      </c>
      <c r="AI348" s="80">
        <f t="shared" si="110"/>
        <v>0</v>
      </c>
      <c r="AJ348" s="638">
        <f t="shared" si="119"/>
        <v>0</v>
      </c>
      <c r="AK348" s="322"/>
      <c r="AL348" s="80">
        <f t="shared" si="111"/>
        <v>0</v>
      </c>
      <c r="AM348" s="79"/>
      <c r="AN348" s="322"/>
      <c r="AO348" s="79"/>
      <c r="AP348" s="322"/>
      <c r="AQ348" s="79"/>
      <c r="AR348" s="322"/>
      <c r="AS348" s="79"/>
      <c r="AT348" s="322"/>
      <c r="AU348" s="325">
        <f t="shared" si="112"/>
        <v>0</v>
      </c>
      <c r="AV348" s="90">
        <f t="shared" si="122"/>
        <v>0</v>
      </c>
      <c r="AW348" s="324">
        <f t="shared" si="113"/>
        <v>0</v>
      </c>
      <c r="AX348" s="80">
        <f t="shared" si="123"/>
        <v>0</v>
      </c>
      <c r="AY348" s="326">
        <f t="shared" si="114"/>
        <v>7199.3</v>
      </c>
      <c r="AZ348" s="80">
        <f t="shared" si="115"/>
        <v>7972</v>
      </c>
    </row>
    <row r="349" spans="1:52">
      <c r="A349" s="94" t="s">
        <v>596</v>
      </c>
      <c r="B349" s="94" t="s">
        <v>604</v>
      </c>
      <c r="C349" s="232">
        <v>198622</v>
      </c>
      <c r="D349" s="104">
        <v>8</v>
      </c>
      <c r="E349" s="162" t="s">
        <v>442</v>
      </c>
      <c r="F349" s="163" t="s">
        <v>442</v>
      </c>
      <c r="G349" s="79"/>
      <c r="H349" s="322"/>
      <c r="I349" s="79">
        <v>128082.9</v>
      </c>
      <c r="J349" s="351">
        <v>136500</v>
      </c>
      <c r="K349" s="79">
        <v>37450.199999999997</v>
      </c>
      <c r="L349" s="351">
        <v>39330</v>
      </c>
      <c r="M349" s="79">
        <v>146596.79999999999</v>
      </c>
      <c r="N349" s="351">
        <v>161400</v>
      </c>
      <c r="O349" s="323">
        <f t="shared" si="106"/>
        <v>312129.89999999997</v>
      </c>
      <c r="P349" s="638">
        <f t="shared" si="116"/>
        <v>312129.89999999997</v>
      </c>
      <c r="Q349" s="351">
        <v>1731.6</v>
      </c>
      <c r="R349" s="90">
        <f t="shared" si="120"/>
        <v>10404.329999999998</v>
      </c>
      <c r="S349" s="324">
        <f t="shared" si="107"/>
        <v>337230</v>
      </c>
      <c r="T349" s="638">
        <f t="shared" si="117"/>
        <v>337230</v>
      </c>
      <c r="U349" s="351">
        <v>2173.1999999999998</v>
      </c>
      <c r="V349" s="80">
        <f t="shared" si="121"/>
        <v>11241</v>
      </c>
      <c r="W349" s="79"/>
      <c r="X349" s="322"/>
      <c r="Y349" s="79"/>
      <c r="Z349" s="322"/>
      <c r="AA349" s="79"/>
      <c r="AB349" s="322"/>
      <c r="AC349" s="79"/>
      <c r="AD349" s="322"/>
      <c r="AE349" s="323">
        <f t="shared" si="108"/>
        <v>0</v>
      </c>
      <c r="AF349" s="638">
        <f t="shared" si="118"/>
        <v>0</v>
      </c>
      <c r="AG349" s="322"/>
      <c r="AH349" s="90">
        <f t="shared" si="109"/>
        <v>0</v>
      </c>
      <c r="AI349" s="80">
        <f t="shared" si="110"/>
        <v>0</v>
      </c>
      <c r="AJ349" s="638">
        <f t="shared" si="119"/>
        <v>0</v>
      </c>
      <c r="AK349" s="322"/>
      <c r="AL349" s="80">
        <f t="shared" si="111"/>
        <v>0</v>
      </c>
      <c r="AM349" s="79"/>
      <c r="AN349" s="322"/>
      <c r="AO349" s="79"/>
      <c r="AP349" s="322"/>
      <c r="AQ349" s="79"/>
      <c r="AR349" s="322"/>
      <c r="AS349" s="79"/>
      <c r="AT349" s="322"/>
      <c r="AU349" s="325">
        <f t="shared" si="112"/>
        <v>0</v>
      </c>
      <c r="AV349" s="90">
        <f t="shared" si="122"/>
        <v>0</v>
      </c>
      <c r="AW349" s="324">
        <f t="shared" si="113"/>
        <v>0</v>
      </c>
      <c r="AX349" s="80">
        <f t="shared" si="123"/>
        <v>0</v>
      </c>
      <c r="AY349" s="326">
        <f t="shared" si="114"/>
        <v>10404.329999999998</v>
      </c>
      <c r="AZ349" s="80">
        <f t="shared" si="115"/>
        <v>11241</v>
      </c>
    </row>
    <row r="350" spans="1:52">
      <c r="A350" s="94" t="s">
        <v>596</v>
      </c>
      <c r="B350" s="94" t="s">
        <v>605</v>
      </c>
      <c r="C350" s="232">
        <v>199333</v>
      </c>
      <c r="D350" s="104">
        <v>8</v>
      </c>
      <c r="E350" s="162" t="s">
        <v>442</v>
      </c>
      <c r="F350" s="163" t="s">
        <v>442</v>
      </c>
      <c r="G350" s="79"/>
      <c r="H350" s="322"/>
      <c r="I350" s="79">
        <v>80440.800000000003</v>
      </c>
      <c r="J350" s="351">
        <v>86280</v>
      </c>
      <c r="K350" s="79">
        <v>26049</v>
      </c>
      <c r="L350" s="351">
        <v>27330</v>
      </c>
      <c r="M350" s="79">
        <v>86857.2</v>
      </c>
      <c r="N350" s="351">
        <v>92940</v>
      </c>
      <c r="O350" s="323">
        <f t="shared" si="106"/>
        <v>193347</v>
      </c>
      <c r="P350" s="638">
        <f t="shared" si="116"/>
        <v>193347</v>
      </c>
      <c r="Q350" s="351">
        <v>3567.2999999999997</v>
      </c>
      <c r="R350" s="90">
        <f t="shared" si="120"/>
        <v>6444.9</v>
      </c>
      <c r="S350" s="324">
        <f t="shared" si="107"/>
        <v>206550</v>
      </c>
      <c r="T350" s="638">
        <f t="shared" si="117"/>
        <v>206550</v>
      </c>
      <c r="U350" s="351">
        <v>4218.3</v>
      </c>
      <c r="V350" s="80">
        <f t="shared" si="121"/>
        <v>6885</v>
      </c>
      <c r="W350" s="79"/>
      <c r="X350" s="322"/>
      <c r="Y350" s="79"/>
      <c r="Z350" s="322"/>
      <c r="AA350" s="79"/>
      <c r="AB350" s="322"/>
      <c r="AC350" s="79"/>
      <c r="AD350" s="322"/>
      <c r="AE350" s="323">
        <f t="shared" si="108"/>
        <v>0</v>
      </c>
      <c r="AF350" s="638">
        <f t="shared" si="118"/>
        <v>0</v>
      </c>
      <c r="AG350" s="322"/>
      <c r="AH350" s="90">
        <f t="shared" si="109"/>
        <v>0</v>
      </c>
      <c r="AI350" s="80">
        <f t="shared" si="110"/>
        <v>0</v>
      </c>
      <c r="AJ350" s="638">
        <f t="shared" si="119"/>
        <v>0</v>
      </c>
      <c r="AK350" s="322"/>
      <c r="AL350" s="80">
        <f t="shared" si="111"/>
        <v>0</v>
      </c>
      <c r="AM350" s="79"/>
      <c r="AN350" s="322"/>
      <c r="AO350" s="79"/>
      <c r="AP350" s="322"/>
      <c r="AQ350" s="79"/>
      <c r="AR350" s="322"/>
      <c r="AS350" s="79"/>
      <c r="AT350" s="322"/>
      <c r="AU350" s="325">
        <f t="shared" si="112"/>
        <v>0</v>
      </c>
      <c r="AV350" s="90">
        <f t="shared" si="122"/>
        <v>0</v>
      </c>
      <c r="AW350" s="324">
        <f t="shared" si="113"/>
        <v>0</v>
      </c>
      <c r="AX350" s="80">
        <f t="shared" si="123"/>
        <v>0</v>
      </c>
      <c r="AY350" s="326">
        <f t="shared" si="114"/>
        <v>6444.9</v>
      </c>
      <c r="AZ350" s="80">
        <f t="shared" si="115"/>
        <v>6885</v>
      </c>
    </row>
    <row r="351" spans="1:52">
      <c r="A351" s="94" t="s">
        <v>596</v>
      </c>
      <c r="B351" s="94" t="s">
        <v>630</v>
      </c>
      <c r="C351" s="232">
        <v>199494</v>
      </c>
      <c r="D351" s="95">
        <v>8</v>
      </c>
      <c r="E351" s="162" t="s">
        <v>442</v>
      </c>
      <c r="F351" s="163" t="s">
        <v>442</v>
      </c>
      <c r="G351" s="79"/>
      <c r="H351" s="322"/>
      <c r="I351" s="79">
        <v>66212.399999999994</v>
      </c>
      <c r="J351" s="351">
        <v>70020</v>
      </c>
      <c r="K351" s="79">
        <v>20848.5</v>
      </c>
      <c r="L351" s="351">
        <v>22560</v>
      </c>
      <c r="M351" s="79">
        <v>76593.899999999994</v>
      </c>
      <c r="N351" s="351">
        <v>81900</v>
      </c>
      <c r="O351" s="323">
        <f t="shared" si="106"/>
        <v>163654.79999999999</v>
      </c>
      <c r="P351" s="638">
        <f t="shared" si="116"/>
        <v>163654.79999999999</v>
      </c>
      <c r="Q351" s="351">
        <v>4765.5</v>
      </c>
      <c r="R351" s="90">
        <f t="shared" si="120"/>
        <v>5455.16</v>
      </c>
      <c r="S351" s="324">
        <f t="shared" si="107"/>
        <v>174480</v>
      </c>
      <c r="T351" s="638">
        <f t="shared" si="117"/>
        <v>174480</v>
      </c>
      <c r="U351" s="351">
        <v>4854</v>
      </c>
      <c r="V351" s="80">
        <f t="shared" si="121"/>
        <v>5816</v>
      </c>
      <c r="W351" s="79"/>
      <c r="X351" s="322"/>
      <c r="Y351" s="79"/>
      <c r="Z351" s="322"/>
      <c r="AA351" s="79"/>
      <c r="AB351" s="322"/>
      <c r="AC351" s="79"/>
      <c r="AD351" s="322"/>
      <c r="AE351" s="323">
        <f t="shared" si="108"/>
        <v>0</v>
      </c>
      <c r="AF351" s="638">
        <f t="shared" si="118"/>
        <v>0</v>
      </c>
      <c r="AG351" s="322"/>
      <c r="AH351" s="90">
        <f t="shared" si="109"/>
        <v>0</v>
      </c>
      <c r="AI351" s="80">
        <f t="shared" si="110"/>
        <v>0</v>
      </c>
      <c r="AJ351" s="638">
        <f t="shared" si="119"/>
        <v>0</v>
      </c>
      <c r="AK351" s="322"/>
      <c r="AL351" s="80">
        <f t="shared" si="111"/>
        <v>0</v>
      </c>
      <c r="AM351" s="79"/>
      <c r="AN351" s="322"/>
      <c r="AO351" s="79"/>
      <c r="AP351" s="322"/>
      <c r="AQ351" s="79"/>
      <c r="AR351" s="322"/>
      <c r="AS351" s="79"/>
      <c r="AT351" s="322"/>
      <c r="AU351" s="325">
        <f t="shared" si="112"/>
        <v>0</v>
      </c>
      <c r="AV351" s="90">
        <f t="shared" si="122"/>
        <v>0</v>
      </c>
      <c r="AW351" s="324">
        <f t="shared" si="113"/>
        <v>0</v>
      </c>
      <c r="AX351" s="80">
        <f t="shared" si="123"/>
        <v>0</v>
      </c>
      <c r="AY351" s="326">
        <f t="shared" si="114"/>
        <v>5455.16</v>
      </c>
      <c r="AZ351" s="80">
        <f t="shared" si="115"/>
        <v>5816</v>
      </c>
    </row>
    <row r="352" spans="1:52">
      <c r="A352" s="94" t="s">
        <v>596</v>
      </c>
      <c r="B352" s="94" t="s">
        <v>606</v>
      </c>
      <c r="C352" s="232">
        <v>199856</v>
      </c>
      <c r="D352" s="104">
        <v>8</v>
      </c>
      <c r="E352" s="162" t="s">
        <v>442</v>
      </c>
      <c r="F352" s="163" t="s">
        <v>442</v>
      </c>
      <c r="G352" s="79"/>
      <c r="H352" s="322"/>
      <c r="I352" s="79">
        <v>155446.5</v>
      </c>
      <c r="J352" s="351">
        <v>172110</v>
      </c>
      <c r="K352" s="79">
        <v>60519.3</v>
      </c>
      <c r="L352" s="351">
        <v>60240</v>
      </c>
      <c r="M352" s="79">
        <v>175045.5</v>
      </c>
      <c r="N352" s="351">
        <v>197040</v>
      </c>
      <c r="O352" s="323">
        <f t="shared" si="106"/>
        <v>391011.3</v>
      </c>
      <c r="P352" s="638">
        <f t="shared" si="116"/>
        <v>391011.3</v>
      </c>
      <c r="Q352" s="351">
        <v>2702.7000000000003</v>
      </c>
      <c r="R352" s="90">
        <f t="shared" si="120"/>
        <v>13033.71</v>
      </c>
      <c r="S352" s="324">
        <f t="shared" si="107"/>
        <v>429390</v>
      </c>
      <c r="T352" s="638">
        <f t="shared" si="117"/>
        <v>429390</v>
      </c>
      <c r="U352" s="351">
        <v>4712.7</v>
      </c>
      <c r="V352" s="80">
        <f t="shared" si="121"/>
        <v>14313</v>
      </c>
      <c r="W352" s="79"/>
      <c r="X352" s="322"/>
      <c r="Y352" s="79"/>
      <c r="Z352" s="322"/>
      <c r="AA352" s="79"/>
      <c r="AB352" s="322"/>
      <c r="AC352" s="79"/>
      <c r="AD352" s="322"/>
      <c r="AE352" s="323">
        <f t="shared" si="108"/>
        <v>0</v>
      </c>
      <c r="AF352" s="638">
        <f t="shared" si="118"/>
        <v>0</v>
      </c>
      <c r="AG352" s="322"/>
      <c r="AH352" s="90">
        <f t="shared" si="109"/>
        <v>0</v>
      </c>
      <c r="AI352" s="80">
        <f t="shared" si="110"/>
        <v>0</v>
      </c>
      <c r="AJ352" s="638">
        <f t="shared" si="119"/>
        <v>0</v>
      </c>
      <c r="AK352" s="322"/>
      <c r="AL352" s="80">
        <f t="shared" si="111"/>
        <v>0</v>
      </c>
      <c r="AM352" s="79"/>
      <c r="AN352" s="322"/>
      <c r="AO352" s="79"/>
      <c r="AP352" s="322"/>
      <c r="AQ352" s="79"/>
      <c r="AR352" s="322"/>
      <c r="AS352" s="79"/>
      <c r="AT352" s="322"/>
      <c r="AU352" s="325">
        <f t="shared" si="112"/>
        <v>0</v>
      </c>
      <c r="AV352" s="90">
        <f t="shared" si="122"/>
        <v>0</v>
      </c>
      <c r="AW352" s="324">
        <f t="shared" si="113"/>
        <v>0</v>
      </c>
      <c r="AX352" s="80">
        <f t="shared" si="123"/>
        <v>0</v>
      </c>
      <c r="AY352" s="326">
        <f t="shared" si="114"/>
        <v>13033.71</v>
      </c>
      <c r="AZ352" s="80">
        <f t="shared" si="115"/>
        <v>14313</v>
      </c>
    </row>
    <row r="353" spans="1:52">
      <c r="A353" s="94" t="s">
        <v>596</v>
      </c>
      <c r="B353" s="94" t="s">
        <v>607</v>
      </c>
      <c r="C353" s="232">
        <v>199786</v>
      </c>
      <c r="D353" s="104">
        <v>9</v>
      </c>
      <c r="E353" s="162" t="s">
        <v>442</v>
      </c>
      <c r="F353" s="163" t="s">
        <v>442</v>
      </c>
      <c r="G353" s="79"/>
      <c r="H353" s="322"/>
      <c r="I353" s="79">
        <v>53619.6</v>
      </c>
      <c r="J353" s="351">
        <v>55770</v>
      </c>
      <c r="K353" s="79">
        <v>16669.2</v>
      </c>
      <c r="L353" s="351">
        <v>16920</v>
      </c>
      <c r="M353" s="79">
        <v>55407</v>
      </c>
      <c r="N353" s="351">
        <v>61560</v>
      </c>
      <c r="O353" s="323">
        <f t="shared" si="106"/>
        <v>125695.8</v>
      </c>
      <c r="P353" s="638">
        <f t="shared" si="116"/>
        <v>125695.8</v>
      </c>
      <c r="Q353" s="351">
        <v>7878.0000000000009</v>
      </c>
      <c r="R353" s="90">
        <f t="shared" si="120"/>
        <v>4189.8599999999997</v>
      </c>
      <c r="S353" s="324">
        <f t="shared" si="107"/>
        <v>134250</v>
      </c>
      <c r="T353" s="638">
        <f t="shared" si="117"/>
        <v>134250</v>
      </c>
      <c r="U353" s="351">
        <v>6508.2</v>
      </c>
      <c r="V353" s="80">
        <f t="shared" si="121"/>
        <v>4475</v>
      </c>
      <c r="W353" s="79"/>
      <c r="X353" s="322"/>
      <c r="Y353" s="79"/>
      <c r="Z353" s="322"/>
      <c r="AA353" s="79"/>
      <c r="AB353" s="322"/>
      <c r="AC353" s="79"/>
      <c r="AD353" s="322"/>
      <c r="AE353" s="323">
        <f t="shared" si="108"/>
        <v>0</v>
      </c>
      <c r="AF353" s="638">
        <f t="shared" si="118"/>
        <v>0</v>
      </c>
      <c r="AG353" s="322"/>
      <c r="AH353" s="90">
        <f t="shared" si="109"/>
        <v>0</v>
      </c>
      <c r="AI353" s="80">
        <f t="shared" si="110"/>
        <v>0</v>
      </c>
      <c r="AJ353" s="638">
        <f t="shared" si="119"/>
        <v>0</v>
      </c>
      <c r="AK353" s="322"/>
      <c r="AL353" s="80">
        <f t="shared" si="111"/>
        <v>0</v>
      </c>
      <c r="AM353" s="79"/>
      <c r="AN353" s="322"/>
      <c r="AO353" s="79"/>
      <c r="AP353" s="322"/>
      <c r="AQ353" s="79"/>
      <c r="AR353" s="322"/>
      <c r="AS353" s="79"/>
      <c r="AT353" s="322"/>
      <c r="AU353" s="325">
        <f t="shared" si="112"/>
        <v>0</v>
      </c>
      <c r="AV353" s="90">
        <f t="shared" si="122"/>
        <v>0</v>
      </c>
      <c r="AW353" s="324">
        <f t="shared" si="113"/>
        <v>0</v>
      </c>
      <c r="AX353" s="80">
        <f t="shared" si="123"/>
        <v>0</v>
      </c>
      <c r="AY353" s="326">
        <f t="shared" si="114"/>
        <v>4189.8599999999997</v>
      </c>
      <c r="AZ353" s="80">
        <f t="shared" si="115"/>
        <v>4475</v>
      </c>
    </row>
    <row r="354" spans="1:52">
      <c r="A354" s="94" t="s">
        <v>596</v>
      </c>
      <c r="B354" s="94" t="s">
        <v>609</v>
      </c>
      <c r="C354" s="232">
        <v>198039</v>
      </c>
      <c r="D354" s="104">
        <v>9</v>
      </c>
      <c r="E354" s="162" t="s">
        <v>442</v>
      </c>
      <c r="F354" s="163" t="s">
        <v>442</v>
      </c>
      <c r="G354" s="79"/>
      <c r="H354" s="322"/>
      <c r="I354" s="79">
        <v>28305.9</v>
      </c>
      <c r="J354" s="351">
        <v>28110</v>
      </c>
      <c r="K354" s="79">
        <v>9307.7999999999993</v>
      </c>
      <c r="L354" s="351">
        <v>9180</v>
      </c>
      <c r="M354" s="79">
        <v>30540.6</v>
      </c>
      <c r="N354" s="351">
        <v>31890</v>
      </c>
      <c r="O354" s="323">
        <f t="shared" si="106"/>
        <v>68154.299999999988</v>
      </c>
      <c r="P354" s="638">
        <f t="shared" si="116"/>
        <v>68154.299999999988</v>
      </c>
      <c r="Q354" s="351">
        <v>3580.2000000000003</v>
      </c>
      <c r="R354" s="90">
        <f t="shared" si="120"/>
        <v>2271.8099999999995</v>
      </c>
      <c r="S354" s="324">
        <f t="shared" si="107"/>
        <v>69180</v>
      </c>
      <c r="T354" s="638">
        <f t="shared" si="117"/>
        <v>69180</v>
      </c>
      <c r="U354" s="351">
        <v>4297.5</v>
      </c>
      <c r="V354" s="80">
        <f t="shared" si="121"/>
        <v>2306</v>
      </c>
      <c r="W354" s="79"/>
      <c r="X354" s="322"/>
      <c r="Y354" s="79"/>
      <c r="Z354" s="322"/>
      <c r="AA354" s="79"/>
      <c r="AB354" s="322"/>
      <c r="AC354" s="79"/>
      <c r="AD354" s="322"/>
      <c r="AE354" s="323">
        <f t="shared" si="108"/>
        <v>0</v>
      </c>
      <c r="AF354" s="638">
        <f t="shared" si="118"/>
        <v>0</v>
      </c>
      <c r="AG354" s="322"/>
      <c r="AH354" s="90">
        <f t="shared" si="109"/>
        <v>0</v>
      </c>
      <c r="AI354" s="80">
        <f t="shared" si="110"/>
        <v>0</v>
      </c>
      <c r="AJ354" s="638">
        <f t="shared" si="119"/>
        <v>0</v>
      </c>
      <c r="AK354" s="322"/>
      <c r="AL354" s="80">
        <f t="shared" si="111"/>
        <v>0</v>
      </c>
      <c r="AM354" s="79"/>
      <c r="AN354" s="322"/>
      <c r="AO354" s="79"/>
      <c r="AP354" s="322"/>
      <c r="AQ354" s="79"/>
      <c r="AR354" s="322"/>
      <c r="AS354" s="79"/>
      <c r="AT354" s="322"/>
      <c r="AU354" s="325">
        <f t="shared" si="112"/>
        <v>0</v>
      </c>
      <c r="AV354" s="90">
        <f t="shared" si="122"/>
        <v>0</v>
      </c>
      <c r="AW354" s="324">
        <f t="shared" si="113"/>
        <v>0</v>
      </c>
      <c r="AX354" s="80">
        <f t="shared" si="123"/>
        <v>0</v>
      </c>
      <c r="AY354" s="326">
        <f t="shared" si="114"/>
        <v>2271.8099999999995</v>
      </c>
      <c r="AZ354" s="80">
        <f t="shared" si="115"/>
        <v>2306</v>
      </c>
    </row>
    <row r="355" spans="1:52">
      <c r="A355" s="94" t="s">
        <v>596</v>
      </c>
      <c r="B355" s="94" t="s">
        <v>610</v>
      </c>
      <c r="C355" s="232">
        <v>198118</v>
      </c>
      <c r="D355" s="95">
        <v>9</v>
      </c>
      <c r="E355" s="162" t="s">
        <v>442</v>
      </c>
      <c r="F355" s="163" t="s">
        <v>442</v>
      </c>
      <c r="G355" s="79"/>
      <c r="H355" s="322"/>
      <c r="I355" s="79">
        <v>53920.2</v>
      </c>
      <c r="J355" s="351">
        <v>55950</v>
      </c>
      <c r="K355" s="79">
        <v>17594.7</v>
      </c>
      <c r="L355" s="351">
        <v>16770</v>
      </c>
      <c r="M355" s="79">
        <v>59719.8</v>
      </c>
      <c r="N355" s="351">
        <v>60630</v>
      </c>
      <c r="O355" s="323">
        <f t="shared" si="106"/>
        <v>131234.70000000001</v>
      </c>
      <c r="P355" s="638">
        <f t="shared" si="116"/>
        <v>131234.70000000001</v>
      </c>
      <c r="Q355" s="351">
        <v>6217.5</v>
      </c>
      <c r="R355" s="90">
        <f t="shared" si="120"/>
        <v>4374.4900000000007</v>
      </c>
      <c r="S355" s="324">
        <f t="shared" si="107"/>
        <v>133350</v>
      </c>
      <c r="T355" s="638">
        <f t="shared" si="117"/>
        <v>133350</v>
      </c>
      <c r="U355" s="351">
        <v>8217.3000000000011</v>
      </c>
      <c r="V355" s="80">
        <f t="shared" si="121"/>
        <v>4445</v>
      </c>
      <c r="W355" s="79"/>
      <c r="X355" s="322"/>
      <c r="Y355" s="79"/>
      <c r="Z355" s="322"/>
      <c r="AA355" s="79"/>
      <c r="AB355" s="322"/>
      <c r="AC355" s="79"/>
      <c r="AD355" s="322"/>
      <c r="AE355" s="323">
        <f t="shared" si="108"/>
        <v>0</v>
      </c>
      <c r="AF355" s="638">
        <f t="shared" si="118"/>
        <v>0</v>
      </c>
      <c r="AG355" s="322"/>
      <c r="AH355" s="90">
        <f t="shared" si="109"/>
        <v>0</v>
      </c>
      <c r="AI355" s="80">
        <f t="shared" si="110"/>
        <v>0</v>
      </c>
      <c r="AJ355" s="638">
        <f t="shared" si="119"/>
        <v>0</v>
      </c>
      <c r="AK355" s="322"/>
      <c r="AL355" s="80">
        <f t="shared" si="111"/>
        <v>0</v>
      </c>
      <c r="AM355" s="79"/>
      <c r="AN355" s="322"/>
      <c r="AO355" s="79"/>
      <c r="AP355" s="322"/>
      <c r="AQ355" s="79"/>
      <c r="AR355" s="322"/>
      <c r="AS355" s="79"/>
      <c r="AT355" s="322"/>
      <c r="AU355" s="325">
        <f t="shared" si="112"/>
        <v>0</v>
      </c>
      <c r="AV355" s="90">
        <f t="shared" si="122"/>
        <v>0</v>
      </c>
      <c r="AW355" s="324">
        <f t="shared" si="113"/>
        <v>0</v>
      </c>
      <c r="AX355" s="80">
        <f t="shared" si="123"/>
        <v>0</v>
      </c>
      <c r="AY355" s="326">
        <f t="shared" si="114"/>
        <v>4374.4900000000007</v>
      </c>
      <c r="AZ355" s="80">
        <f t="shared" si="115"/>
        <v>4445</v>
      </c>
    </row>
    <row r="356" spans="1:52">
      <c r="A356" s="94" t="s">
        <v>596</v>
      </c>
      <c r="B356" s="94" t="s">
        <v>611</v>
      </c>
      <c r="C356" s="232">
        <v>198321</v>
      </c>
      <c r="D356" s="104">
        <v>9</v>
      </c>
      <c r="E356" s="162" t="s">
        <v>442</v>
      </c>
      <c r="F356" s="163" t="s">
        <v>442</v>
      </c>
      <c r="G356" s="79"/>
      <c r="H356" s="322"/>
      <c r="I356" s="79">
        <v>41870.699999999997</v>
      </c>
      <c r="J356" s="351">
        <v>42000</v>
      </c>
      <c r="K356" s="79">
        <v>10571.1</v>
      </c>
      <c r="L356" s="351">
        <v>9210</v>
      </c>
      <c r="M356" s="79">
        <v>43391.1</v>
      </c>
      <c r="N356" s="351">
        <v>47580</v>
      </c>
      <c r="O356" s="323">
        <f t="shared" si="106"/>
        <v>95832.9</v>
      </c>
      <c r="P356" s="638">
        <f t="shared" si="116"/>
        <v>95832.9</v>
      </c>
      <c r="Q356" s="351">
        <v>11221.8</v>
      </c>
      <c r="R356" s="90">
        <f t="shared" si="120"/>
        <v>3194.43</v>
      </c>
      <c r="S356" s="324">
        <f t="shared" si="107"/>
        <v>98790</v>
      </c>
      <c r="T356" s="638">
        <f t="shared" si="117"/>
        <v>98790</v>
      </c>
      <c r="U356" s="351">
        <v>11254.800000000001</v>
      </c>
      <c r="V356" s="80">
        <f t="shared" si="121"/>
        <v>3293</v>
      </c>
      <c r="W356" s="79"/>
      <c r="X356" s="322"/>
      <c r="Y356" s="79"/>
      <c r="Z356" s="322"/>
      <c r="AA356" s="79"/>
      <c r="AB356" s="322"/>
      <c r="AC356" s="79"/>
      <c r="AD356" s="322"/>
      <c r="AE356" s="323">
        <f t="shared" si="108"/>
        <v>0</v>
      </c>
      <c r="AF356" s="638">
        <f t="shared" si="118"/>
        <v>0</v>
      </c>
      <c r="AG356" s="322"/>
      <c r="AH356" s="90">
        <f t="shared" si="109"/>
        <v>0</v>
      </c>
      <c r="AI356" s="80">
        <f t="shared" si="110"/>
        <v>0</v>
      </c>
      <c r="AJ356" s="638">
        <f t="shared" si="119"/>
        <v>0</v>
      </c>
      <c r="AK356" s="322"/>
      <c r="AL356" s="80">
        <f t="shared" si="111"/>
        <v>0</v>
      </c>
      <c r="AM356" s="79"/>
      <c r="AN356" s="322"/>
      <c r="AO356" s="79"/>
      <c r="AP356" s="322"/>
      <c r="AQ356" s="79"/>
      <c r="AR356" s="322"/>
      <c r="AS356" s="79"/>
      <c r="AT356" s="322"/>
      <c r="AU356" s="325">
        <f t="shared" si="112"/>
        <v>0</v>
      </c>
      <c r="AV356" s="90">
        <f t="shared" si="122"/>
        <v>0</v>
      </c>
      <c r="AW356" s="324">
        <f t="shared" si="113"/>
        <v>0</v>
      </c>
      <c r="AX356" s="80">
        <f t="shared" si="123"/>
        <v>0</v>
      </c>
      <c r="AY356" s="326">
        <f t="shared" si="114"/>
        <v>3194.43</v>
      </c>
      <c r="AZ356" s="80">
        <f t="shared" si="115"/>
        <v>3293</v>
      </c>
    </row>
    <row r="357" spans="1:52">
      <c r="A357" s="94" t="s">
        <v>596</v>
      </c>
      <c r="B357" s="94" t="s">
        <v>612</v>
      </c>
      <c r="C357" s="232">
        <v>198330</v>
      </c>
      <c r="D357" s="104">
        <v>9</v>
      </c>
      <c r="E357" s="162" t="s">
        <v>442</v>
      </c>
      <c r="F357" s="163" t="s">
        <v>442</v>
      </c>
      <c r="G357" s="79"/>
      <c r="H357" s="322"/>
      <c r="I357" s="79">
        <v>59856</v>
      </c>
      <c r="J357" s="351">
        <v>60150</v>
      </c>
      <c r="K357" s="79">
        <v>25679.4</v>
      </c>
      <c r="L357" s="351">
        <v>27090</v>
      </c>
      <c r="M357" s="79">
        <v>61953</v>
      </c>
      <c r="N357" s="351">
        <v>65280</v>
      </c>
      <c r="O357" s="323">
        <f t="shared" si="106"/>
        <v>147488.4</v>
      </c>
      <c r="P357" s="638">
        <f t="shared" si="116"/>
        <v>147488.4</v>
      </c>
      <c r="Q357" s="351">
        <v>1236.8999999999999</v>
      </c>
      <c r="R357" s="90">
        <f t="shared" si="120"/>
        <v>4916.28</v>
      </c>
      <c r="S357" s="324">
        <f t="shared" si="107"/>
        <v>152520</v>
      </c>
      <c r="T357" s="638">
        <f t="shared" si="117"/>
        <v>152520</v>
      </c>
      <c r="U357" s="351">
        <v>1573.5</v>
      </c>
      <c r="V357" s="80">
        <f t="shared" si="121"/>
        <v>5084</v>
      </c>
      <c r="W357" s="79"/>
      <c r="X357" s="322"/>
      <c r="Y357" s="79"/>
      <c r="Z357" s="322"/>
      <c r="AA357" s="79"/>
      <c r="AB357" s="322"/>
      <c r="AC357" s="79"/>
      <c r="AD357" s="322"/>
      <c r="AE357" s="323">
        <f t="shared" si="108"/>
        <v>0</v>
      </c>
      <c r="AF357" s="638">
        <f t="shared" si="118"/>
        <v>0</v>
      </c>
      <c r="AG357" s="322"/>
      <c r="AH357" s="90">
        <f t="shared" si="109"/>
        <v>0</v>
      </c>
      <c r="AI357" s="80">
        <f t="shared" si="110"/>
        <v>0</v>
      </c>
      <c r="AJ357" s="638">
        <f t="shared" si="119"/>
        <v>0</v>
      </c>
      <c r="AK357" s="322"/>
      <c r="AL357" s="80">
        <f t="shared" si="111"/>
        <v>0</v>
      </c>
      <c r="AM357" s="79"/>
      <c r="AN357" s="322"/>
      <c r="AO357" s="79"/>
      <c r="AP357" s="322"/>
      <c r="AQ357" s="79"/>
      <c r="AR357" s="322"/>
      <c r="AS357" s="79"/>
      <c r="AT357" s="322"/>
      <c r="AU357" s="325">
        <f t="shared" si="112"/>
        <v>0</v>
      </c>
      <c r="AV357" s="90">
        <f t="shared" si="122"/>
        <v>0</v>
      </c>
      <c r="AW357" s="324">
        <f t="shared" si="113"/>
        <v>0</v>
      </c>
      <c r="AX357" s="80">
        <f t="shared" si="123"/>
        <v>0</v>
      </c>
      <c r="AY357" s="326">
        <f t="shared" si="114"/>
        <v>4916.28</v>
      </c>
      <c r="AZ357" s="80">
        <f t="shared" si="115"/>
        <v>5084</v>
      </c>
    </row>
    <row r="358" spans="1:52">
      <c r="A358" s="94" t="s">
        <v>596</v>
      </c>
      <c r="B358" s="94" t="s">
        <v>613</v>
      </c>
      <c r="C358" s="232">
        <v>197814</v>
      </c>
      <c r="D358" s="104">
        <v>9</v>
      </c>
      <c r="E358" s="162" t="s">
        <v>442</v>
      </c>
      <c r="F358" s="163" t="s">
        <v>442</v>
      </c>
      <c r="G358" s="79"/>
      <c r="H358" s="322"/>
      <c r="I358" s="79">
        <v>31458</v>
      </c>
      <c r="J358" s="351">
        <v>33570</v>
      </c>
      <c r="K358" s="79">
        <v>8565</v>
      </c>
      <c r="L358" s="351">
        <v>6720</v>
      </c>
      <c r="M358" s="79">
        <v>33021.9</v>
      </c>
      <c r="N358" s="351">
        <v>35400</v>
      </c>
      <c r="O358" s="323">
        <f t="shared" si="106"/>
        <v>73044.899999999994</v>
      </c>
      <c r="P358" s="638">
        <f t="shared" si="116"/>
        <v>73044.899999999994</v>
      </c>
      <c r="Q358" s="351">
        <v>4022.7000000000003</v>
      </c>
      <c r="R358" s="90">
        <f t="shared" si="120"/>
        <v>2434.83</v>
      </c>
      <c r="S358" s="324">
        <f t="shared" si="107"/>
        <v>75690</v>
      </c>
      <c r="T358" s="638">
        <f t="shared" si="117"/>
        <v>75690</v>
      </c>
      <c r="U358" s="351">
        <v>3090.9</v>
      </c>
      <c r="V358" s="80">
        <f t="shared" si="121"/>
        <v>2523</v>
      </c>
      <c r="W358" s="79"/>
      <c r="X358" s="322"/>
      <c r="Y358" s="79"/>
      <c r="Z358" s="322"/>
      <c r="AA358" s="79"/>
      <c r="AB358" s="322"/>
      <c r="AC358" s="79"/>
      <c r="AD358" s="322"/>
      <c r="AE358" s="323">
        <f t="shared" si="108"/>
        <v>0</v>
      </c>
      <c r="AF358" s="638">
        <f t="shared" si="118"/>
        <v>0</v>
      </c>
      <c r="AG358" s="322"/>
      <c r="AH358" s="90">
        <f t="shared" si="109"/>
        <v>0</v>
      </c>
      <c r="AI358" s="80">
        <f t="shared" si="110"/>
        <v>0</v>
      </c>
      <c r="AJ358" s="638">
        <f t="shared" si="119"/>
        <v>0</v>
      </c>
      <c r="AK358" s="322"/>
      <c r="AL358" s="80">
        <f t="shared" si="111"/>
        <v>0</v>
      </c>
      <c r="AM358" s="79"/>
      <c r="AN358" s="322"/>
      <c r="AO358" s="79"/>
      <c r="AP358" s="322"/>
      <c r="AQ358" s="79"/>
      <c r="AR358" s="322"/>
      <c r="AS358" s="79"/>
      <c r="AT358" s="322"/>
      <c r="AU358" s="325">
        <f t="shared" si="112"/>
        <v>0</v>
      </c>
      <c r="AV358" s="90">
        <f t="shared" si="122"/>
        <v>0</v>
      </c>
      <c r="AW358" s="324">
        <f t="shared" si="113"/>
        <v>0</v>
      </c>
      <c r="AX358" s="80">
        <f t="shared" si="123"/>
        <v>0</v>
      </c>
      <c r="AY358" s="326">
        <f t="shared" si="114"/>
        <v>2434.83</v>
      </c>
      <c r="AZ358" s="80">
        <f t="shared" si="115"/>
        <v>2523</v>
      </c>
    </row>
    <row r="359" spans="1:52">
      <c r="A359" s="94" t="s">
        <v>596</v>
      </c>
      <c r="B359" s="94" t="s">
        <v>614</v>
      </c>
      <c r="C359" s="232">
        <v>198367</v>
      </c>
      <c r="D359" s="95">
        <v>9</v>
      </c>
      <c r="E359" s="162" t="s">
        <v>442</v>
      </c>
      <c r="F359" s="163" t="s">
        <v>442</v>
      </c>
      <c r="G359" s="79"/>
      <c r="H359" s="322"/>
      <c r="I359" s="79">
        <v>38330.400000000001</v>
      </c>
      <c r="J359" s="351">
        <v>38190</v>
      </c>
      <c r="K359" s="79">
        <v>14612.1</v>
      </c>
      <c r="L359" s="351">
        <v>11640</v>
      </c>
      <c r="M359" s="79">
        <v>39601.5</v>
      </c>
      <c r="N359" s="351">
        <v>42090</v>
      </c>
      <c r="O359" s="323">
        <f t="shared" si="106"/>
        <v>92544</v>
      </c>
      <c r="P359" s="638">
        <f t="shared" si="116"/>
        <v>92544</v>
      </c>
      <c r="Q359" s="351">
        <v>2396.6999999999998</v>
      </c>
      <c r="R359" s="90">
        <f t="shared" si="120"/>
        <v>3084.8</v>
      </c>
      <c r="S359" s="324">
        <f t="shared" si="107"/>
        <v>91920</v>
      </c>
      <c r="T359" s="638">
        <f t="shared" si="117"/>
        <v>91920</v>
      </c>
      <c r="U359" s="351">
        <v>3090.3</v>
      </c>
      <c r="V359" s="80">
        <f t="shared" si="121"/>
        <v>3064</v>
      </c>
      <c r="W359" s="79"/>
      <c r="X359" s="322"/>
      <c r="Y359" s="79"/>
      <c r="Z359" s="322"/>
      <c r="AA359" s="79"/>
      <c r="AB359" s="322"/>
      <c r="AC359" s="79"/>
      <c r="AD359" s="322"/>
      <c r="AE359" s="323">
        <f t="shared" si="108"/>
        <v>0</v>
      </c>
      <c r="AF359" s="638">
        <f t="shared" si="118"/>
        <v>0</v>
      </c>
      <c r="AG359" s="322"/>
      <c r="AH359" s="90">
        <f t="shared" si="109"/>
        <v>0</v>
      </c>
      <c r="AI359" s="80">
        <f t="shared" si="110"/>
        <v>0</v>
      </c>
      <c r="AJ359" s="638">
        <f t="shared" si="119"/>
        <v>0</v>
      </c>
      <c r="AK359" s="322"/>
      <c r="AL359" s="80">
        <f t="shared" si="111"/>
        <v>0</v>
      </c>
      <c r="AM359" s="79"/>
      <c r="AN359" s="322"/>
      <c r="AO359" s="79"/>
      <c r="AP359" s="322"/>
      <c r="AQ359" s="79"/>
      <c r="AR359" s="322"/>
      <c r="AS359" s="79"/>
      <c r="AT359" s="322"/>
      <c r="AU359" s="325">
        <f t="shared" si="112"/>
        <v>0</v>
      </c>
      <c r="AV359" s="90">
        <f t="shared" si="122"/>
        <v>0</v>
      </c>
      <c r="AW359" s="324">
        <f t="shared" si="113"/>
        <v>0</v>
      </c>
      <c r="AX359" s="80">
        <f t="shared" si="123"/>
        <v>0</v>
      </c>
      <c r="AY359" s="326">
        <f t="shared" si="114"/>
        <v>3084.8</v>
      </c>
      <c r="AZ359" s="80">
        <f t="shared" si="115"/>
        <v>3064</v>
      </c>
    </row>
    <row r="360" spans="1:52">
      <c r="A360" s="94" t="s">
        <v>596</v>
      </c>
      <c r="B360" s="94" t="s">
        <v>615</v>
      </c>
      <c r="C360" s="232">
        <v>198376</v>
      </c>
      <c r="D360" s="95">
        <v>9</v>
      </c>
      <c r="E360" s="162" t="s">
        <v>442</v>
      </c>
      <c r="F360" s="163" t="s">
        <v>442</v>
      </c>
      <c r="G360" s="79"/>
      <c r="H360" s="322"/>
      <c r="I360" s="79">
        <v>46713.3</v>
      </c>
      <c r="J360" s="351">
        <v>51870</v>
      </c>
      <c r="K360" s="79">
        <v>15319.2</v>
      </c>
      <c r="L360" s="351">
        <v>17490</v>
      </c>
      <c r="M360" s="79">
        <v>51677.7</v>
      </c>
      <c r="N360" s="351">
        <v>55740</v>
      </c>
      <c r="O360" s="323">
        <f t="shared" si="106"/>
        <v>113710.2</v>
      </c>
      <c r="P360" s="638">
        <f t="shared" si="116"/>
        <v>113710.2</v>
      </c>
      <c r="Q360" s="351">
        <v>4794.3</v>
      </c>
      <c r="R360" s="90">
        <f t="shared" si="120"/>
        <v>3790.3399999999997</v>
      </c>
      <c r="S360" s="324">
        <f t="shared" si="107"/>
        <v>125100</v>
      </c>
      <c r="T360" s="638">
        <f t="shared" si="117"/>
        <v>125100</v>
      </c>
      <c r="U360" s="351">
        <v>5775</v>
      </c>
      <c r="V360" s="80">
        <f t="shared" si="121"/>
        <v>4170</v>
      </c>
      <c r="W360" s="79"/>
      <c r="X360" s="322"/>
      <c r="Y360" s="79"/>
      <c r="Z360" s="322"/>
      <c r="AA360" s="79"/>
      <c r="AB360" s="322"/>
      <c r="AC360" s="79"/>
      <c r="AD360" s="322"/>
      <c r="AE360" s="323">
        <f t="shared" si="108"/>
        <v>0</v>
      </c>
      <c r="AF360" s="638">
        <f t="shared" si="118"/>
        <v>0</v>
      </c>
      <c r="AG360" s="322"/>
      <c r="AH360" s="90">
        <f t="shared" si="109"/>
        <v>0</v>
      </c>
      <c r="AI360" s="80">
        <f t="shared" si="110"/>
        <v>0</v>
      </c>
      <c r="AJ360" s="638">
        <f t="shared" si="119"/>
        <v>0</v>
      </c>
      <c r="AK360" s="322"/>
      <c r="AL360" s="80">
        <f t="shared" si="111"/>
        <v>0</v>
      </c>
      <c r="AM360" s="79"/>
      <c r="AN360" s="322"/>
      <c r="AO360" s="79"/>
      <c r="AP360" s="322"/>
      <c r="AQ360" s="79"/>
      <c r="AR360" s="322"/>
      <c r="AS360" s="79"/>
      <c r="AT360" s="322"/>
      <c r="AU360" s="325">
        <f t="shared" si="112"/>
        <v>0</v>
      </c>
      <c r="AV360" s="90">
        <f t="shared" si="122"/>
        <v>0</v>
      </c>
      <c r="AW360" s="324">
        <f t="shared" si="113"/>
        <v>0</v>
      </c>
      <c r="AX360" s="80">
        <f t="shared" si="123"/>
        <v>0</v>
      </c>
      <c r="AY360" s="326">
        <f t="shared" si="114"/>
        <v>3790.3399999999997</v>
      </c>
      <c r="AZ360" s="80">
        <f t="shared" si="115"/>
        <v>4170</v>
      </c>
    </row>
    <row r="361" spans="1:52">
      <c r="A361" s="94" t="s">
        <v>596</v>
      </c>
      <c r="B361" s="94" t="s">
        <v>617</v>
      </c>
      <c r="C361" s="232">
        <v>198491</v>
      </c>
      <c r="D361" s="95">
        <v>9</v>
      </c>
      <c r="E361" s="162" t="s">
        <v>442</v>
      </c>
      <c r="F361" s="163" t="s">
        <v>442</v>
      </c>
      <c r="G361" s="79"/>
      <c r="H361" s="322"/>
      <c r="I361" s="79">
        <v>31644</v>
      </c>
      <c r="J361" s="351">
        <v>31140</v>
      </c>
      <c r="K361" s="79">
        <v>11615.1</v>
      </c>
      <c r="L361" s="351">
        <v>10470</v>
      </c>
      <c r="M361" s="79">
        <v>29290.5</v>
      </c>
      <c r="N361" s="351">
        <v>34230</v>
      </c>
      <c r="O361" s="323">
        <f t="shared" si="106"/>
        <v>72549.600000000006</v>
      </c>
      <c r="P361" s="638">
        <f t="shared" si="116"/>
        <v>72549.600000000006</v>
      </c>
      <c r="Q361" s="351">
        <v>5900.7</v>
      </c>
      <c r="R361" s="90">
        <f t="shared" si="120"/>
        <v>2418.3200000000002</v>
      </c>
      <c r="S361" s="324">
        <f t="shared" si="107"/>
        <v>75840</v>
      </c>
      <c r="T361" s="638">
        <f t="shared" si="117"/>
        <v>75840</v>
      </c>
      <c r="U361" s="351">
        <v>3350.7</v>
      </c>
      <c r="V361" s="80">
        <f t="shared" si="121"/>
        <v>2528</v>
      </c>
      <c r="W361" s="79"/>
      <c r="X361" s="322"/>
      <c r="Y361" s="79"/>
      <c r="Z361" s="322"/>
      <c r="AA361" s="79"/>
      <c r="AB361" s="322"/>
      <c r="AC361" s="79"/>
      <c r="AD361" s="322"/>
      <c r="AE361" s="323">
        <f t="shared" si="108"/>
        <v>0</v>
      </c>
      <c r="AF361" s="638">
        <f t="shared" si="118"/>
        <v>0</v>
      </c>
      <c r="AG361" s="322"/>
      <c r="AH361" s="90">
        <f t="shared" si="109"/>
        <v>0</v>
      </c>
      <c r="AI361" s="80">
        <f t="shared" si="110"/>
        <v>0</v>
      </c>
      <c r="AJ361" s="638">
        <f t="shared" si="119"/>
        <v>0</v>
      </c>
      <c r="AK361" s="322"/>
      <c r="AL361" s="80">
        <f t="shared" si="111"/>
        <v>0</v>
      </c>
      <c r="AM361" s="79"/>
      <c r="AN361" s="322"/>
      <c r="AO361" s="79"/>
      <c r="AP361" s="322"/>
      <c r="AQ361" s="79"/>
      <c r="AR361" s="322"/>
      <c r="AS361" s="79"/>
      <c r="AT361" s="322"/>
      <c r="AU361" s="325">
        <f t="shared" si="112"/>
        <v>0</v>
      </c>
      <c r="AV361" s="90">
        <f t="shared" si="122"/>
        <v>0</v>
      </c>
      <c r="AW361" s="324">
        <f t="shared" si="113"/>
        <v>0</v>
      </c>
      <c r="AX361" s="80">
        <f t="shared" si="123"/>
        <v>0</v>
      </c>
      <c r="AY361" s="326">
        <f t="shared" si="114"/>
        <v>2418.3200000000002</v>
      </c>
      <c r="AZ361" s="80">
        <f t="shared" si="115"/>
        <v>2528</v>
      </c>
    </row>
    <row r="362" spans="1:52">
      <c r="A362" s="94" t="s">
        <v>596</v>
      </c>
      <c r="B362" s="94" t="s">
        <v>618</v>
      </c>
      <c r="C362" s="232">
        <v>198570</v>
      </c>
      <c r="D362" s="95">
        <v>9</v>
      </c>
      <c r="E362" s="162" t="s">
        <v>442</v>
      </c>
      <c r="F362" s="163" t="s">
        <v>442</v>
      </c>
      <c r="G362" s="79"/>
      <c r="H362" s="322"/>
      <c r="I362" s="79">
        <v>65707.5</v>
      </c>
      <c r="J362" s="351">
        <v>66090</v>
      </c>
      <c r="K362" s="79">
        <v>15223.8</v>
      </c>
      <c r="L362" s="351">
        <v>17160</v>
      </c>
      <c r="M362" s="79">
        <v>68744.7</v>
      </c>
      <c r="N362" s="351">
        <v>74100</v>
      </c>
      <c r="O362" s="323">
        <f t="shared" si="106"/>
        <v>149676</v>
      </c>
      <c r="P362" s="638">
        <f t="shared" si="116"/>
        <v>149676</v>
      </c>
      <c r="Q362" s="351">
        <v>5564.1</v>
      </c>
      <c r="R362" s="90">
        <f t="shared" si="120"/>
        <v>4989.2</v>
      </c>
      <c r="S362" s="324">
        <f t="shared" si="107"/>
        <v>157350</v>
      </c>
      <c r="T362" s="638">
        <f t="shared" si="117"/>
        <v>157350</v>
      </c>
      <c r="U362" s="351">
        <v>6891.3</v>
      </c>
      <c r="V362" s="80">
        <f t="shared" si="121"/>
        <v>5245</v>
      </c>
      <c r="W362" s="79"/>
      <c r="X362" s="322"/>
      <c r="Y362" s="79"/>
      <c r="Z362" s="322"/>
      <c r="AA362" s="79"/>
      <c r="AB362" s="322"/>
      <c r="AC362" s="79"/>
      <c r="AD362" s="322"/>
      <c r="AE362" s="323">
        <f t="shared" si="108"/>
        <v>0</v>
      </c>
      <c r="AF362" s="638">
        <f t="shared" si="118"/>
        <v>0</v>
      </c>
      <c r="AG362" s="322"/>
      <c r="AH362" s="90">
        <f t="shared" si="109"/>
        <v>0</v>
      </c>
      <c r="AI362" s="80">
        <f t="shared" si="110"/>
        <v>0</v>
      </c>
      <c r="AJ362" s="638">
        <f t="shared" si="119"/>
        <v>0</v>
      </c>
      <c r="AK362" s="322"/>
      <c r="AL362" s="80">
        <f t="shared" si="111"/>
        <v>0</v>
      </c>
      <c r="AM362" s="79"/>
      <c r="AN362" s="322"/>
      <c r="AO362" s="79"/>
      <c r="AP362" s="322"/>
      <c r="AQ362" s="79"/>
      <c r="AR362" s="322"/>
      <c r="AS362" s="79"/>
      <c r="AT362" s="322"/>
      <c r="AU362" s="325">
        <f t="shared" si="112"/>
        <v>0</v>
      </c>
      <c r="AV362" s="90">
        <f t="shared" si="122"/>
        <v>0</v>
      </c>
      <c r="AW362" s="324">
        <f t="shared" si="113"/>
        <v>0</v>
      </c>
      <c r="AX362" s="80">
        <f t="shared" si="123"/>
        <v>0</v>
      </c>
      <c r="AY362" s="326">
        <f t="shared" si="114"/>
        <v>4989.2</v>
      </c>
      <c r="AZ362" s="80">
        <f t="shared" si="115"/>
        <v>5245</v>
      </c>
    </row>
    <row r="363" spans="1:52">
      <c r="A363" s="94" t="s">
        <v>596</v>
      </c>
      <c r="B363" s="94" t="s">
        <v>619</v>
      </c>
      <c r="C363" s="232">
        <v>198668</v>
      </c>
      <c r="D363" s="95">
        <v>9</v>
      </c>
      <c r="E363" s="162" t="s">
        <v>442</v>
      </c>
      <c r="F363" s="163" t="s">
        <v>442</v>
      </c>
      <c r="G363" s="79"/>
      <c r="H363" s="322"/>
      <c r="I363" s="79">
        <v>26208.6</v>
      </c>
      <c r="J363" s="351">
        <v>26010</v>
      </c>
      <c r="K363" s="79">
        <v>6795.3</v>
      </c>
      <c r="L363" s="351">
        <v>6840</v>
      </c>
      <c r="M363" s="79">
        <v>29013.599999999999</v>
      </c>
      <c r="N363" s="351">
        <v>28170</v>
      </c>
      <c r="O363" s="323">
        <f t="shared" si="106"/>
        <v>62017.5</v>
      </c>
      <c r="P363" s="638">
        <f t="shared" si="116"/>
        <v>62017.5</v>
      </c>
      <c r="Q363" s="351">
        <v>8874.2999999999993</v>
      </c>
      <c r="R363" s="90">
        <f t="shared" si="120"/>
        <v>2067.25</v>
      </c>
      <c r="S363" s="324">
        <f t="shared" si="107"/>
        <v>61020</v>
      </c>
      <c r="T363" s="638">
        <f t="shared" si="117"/>
        <v>61020</v>
      </c>
      <c r="U363" s="351">
        <v>9819</v>
      </c>
      <c r="V363" s="80">
        <f t="shared" si="121"/>
        <v>2034</v>
      </c>
      <c r="W363" s="79"/>
      <c r="X363" s="322"/>
      <c r="Y363" s="79"/>
      <c r="Z363" s="322"/>
      <c r="AA363" s="79"/>
      <c r="AB363" s="322"/>
      <c r="AC363" s="79"/>
      <c r="AD363" s="322"/>
      <c r="AE363" s="323">
        <f t="shared" si="108"/>
        <v>0</v>
      </c>
      <c r="AF363" s="638">
        <f t="shared" si="118"/>
        <v>0</v>
      </c>
      <c r="AG363" s="322"/>
      <c r="AH363" s="90">
        <f t="shared" si="109"/>
        <v>0</v>
      </c>
      <c r="AI363" s="80">
        <f t="shared" si="110"/>
        <v>0</v>
      </c>
      <c r="AJ363" s="638">
        <f t="shared" si="119"/>
        <v>0</v>
      </c>
      <c r="AK363" s="322"/>
      <c r="AL363" s="80">
        <f t="shared" si="111"/>
        <v>0</v>
      </c>
      <c r="AM363" s="79"/>
      <c r="AN363" s="322"/>
      <c r="AO363" s="79"/>
      <c r="AP363" s="322"/>
      <c r="AQ363" s="79"/>
      <c r="AR363" s="322"/>
      <c r="AS363" s="79"/>
      <c r="AT363" s="322"/>
      <c r="AU363" s="325">
        <f t="shared" si="112"/>
        <v>0</v>
      </c>
      <c r="AV363" s="90">
        <f t="shared" si="122"/>
        <v>0</v>
      </c>
      <c r="AW363" s="324">
        <f t="shared" si="113"/>
        <v>0</v>
      </c>
      <c r="AX363" s="80">
        <f t="shared" si="123"/>
        <v>0</v>
      </c>
      <c r="AY363" s="326">
        <f t="shared" si="114"/>
        <v>2067.25</v>
      </c>
      <c r="AZ363" s="80">
        <f t="shared" si="115"/>
        <v>2034</v>
      </c>
    </row>
    <row r="364" spans="1:52">
      <c r="A364" s="94" t="s">
        <v>596</v>
      </c>
      <c r="B364" s="94" t="s">
        <v>620</v>
      </c>
      <c r="C364" s="232">
        <v>198710</v>
      </c>
      <c r="D364" s="95">
        <v>9</v>
      </c>
      <c r="E364" s="162" t="s">
        <v>442</v>
      </c>
      <c r="F364" s="163" t="s">
        <v>442</v>
      </c>
      <c r="G364" s="79"/>
      <c r="H364" s="322"/>
      <c r="I364" s="79">
        <v>30468.3</v>
      </c>
      <c r="J364" s="351">
        <v>28710</v>
      </c>
      <c r="K364" s="79">
        <v>9210.2999999999993</v>
      </c>
      <c r="L364" s="351">
        <v>10710</v>
      </c>
      <c r="M364" s="79">
        <v>31934.1</v>
      </c>
      <c r="N364" s="351">
        <v>32820</v>
      </c>
      <c r="O364" s="323">
        <f t="shared" si="106"/>
        <v>71612.7</v>
      </c>
      <c r="P364" s="638">
        <f t="shared" si="116"/>
        <v>71612.7</v>
      </c>
      <c r="Q364" s="351">
        <v>4916.7</v>
      </c>
      <c r="R364" s="90">
        <f t="shared" si="120"/>
        <v>2387.0899999999997</v>
      </c>
      <c r="S364" s="324">
        <f t="shared" si="107"/>
        <v>72240</v>
      </c>
      <c r="T364" s="638">
        <f t="shared" si="117"/>
        <v>72240</v>
      </c>
      <c r="U364" s="351">
        <v>6355.5</v>
      </c>
      <c r="V364" s="80">
        <f t="shared" si="121"/>
        <v>2408</v>
      </c>
      <c r="W364" s="79"/>
      <c r="X364" s="322"/>
      <c r="Y364" s="79"/>
      <c r="Z364" s="322"/>
      <c r="AA364" s="79"/>
      <c r="AB364" s="322"/>
      <c r="AC364" s="79"/>
      <c r="AD364" s="322"/>
      <c r="AE364" s="323">
        <f t="shared" si="108"/>
        <v>0</v>
      </c>
      <c r="AF364" s="638">
        <f t="shared" si="118"/>
        <v>0</v>
      </c>
      <c r="AG364" s="322"/>
      <c r="AH364" s="90">
        <f t="shared" si="109"/>
        <v>0</v>
      </c>
      <c r="AI364" s="80">
        <f t="shared" si="110"/>
        <v>0</v>
      </c>
      <c r="AJ364" s="638">
        <f t="shared" si="119"/>
        <v>0</v>
      </c>
      <c r="AK364" s="322"/>
      <c r="AL364" s="80">
        <f t="shared" si="111"/>
        <v>0</v>
      </c>
      <c r="AM364" s="79"/>
      <c r="AN364" s="322"/>
      <c r="AO364" s="79"/>
      <c r="AP364" s="322"/>
      <c r="AQ364" s="79"/>
      <c r="AR364" s="322"/>
      <c r="AS364" s="79"/>
      <c r="AT364" s="322"/>
      <c r="AU364" s="325">
        <f t="shared" si="112"/>
        <v>0</v>
      </c>
      <c r="AV364" s="90">
        <f t="shared" si="122"/>
        <v>0</v>
      </c>
      <c r="AW364" s="324">
        <f t="shared" si="113"/>
        <v>0</v>
      </c>
      <c r="AX364" s="80">
        <f t="shared" si="123"/>
        <v>0</v>
      </c>
      <c r="AY364" s="326">
        <f t="shared" si="114"/>
        <v>2387.0899999999997</v>
      </c>
      <c r="AZ364" s="80">
        <f t="shared" si="115"/>
        <v>2408</v>
      </c>
    </row>
    <row r="365" spans="1:52">
      <c r="A365" s="94" t="s">
        <v>596</v>
      </c>
      <c r="B365" s="94" t="s">
        <v>621</v>
      </c>
      <c r="C365" s="232">
        <v>198774</v>
      </c>
      <c r="D365" s="104">
        <v>9</v>
      </c>
      <c r="E365" s="162" t="s">
        <v>442</v>
      </c>
      <c r="F365" s="163" t="s">
        <v>442</v>
      </c>
      <c r="G365" s="79"/>
      <c r="H365" s="322"/>
      <c r="I365" s="79">
        <v>53734.2</v>
      </c>
      <c r="J365" s="351">
        <v>59580</v>
      </c>
      <c r="K365" s="79">
        <v>13241.4</v>
      </c>
      <c r="L365" s="351">
        <v>13350</v>
      </c>
      <c r="M365" s="79">
        <v>61606.8</v>
      </c>
      <c r="N365" s="351">
        <v>62700</v>
      </c>
      <c r="O365" s="323">
        <f t="shared" si="106"/>
        <v>128582.39999999999</v>
      </c>
      <c r="P365" s="638">
        <f t="shared" si="116"/>
        <v>128582.39999999999</v>
      </c>
      <c r="Q365" s="351">
        <v>13964.1</v>
      </c>
      <c r="R365" s="90">
        <f t="shared" si="120"/>
        <v>4286.08</v>
      </c>
      <c r="S365" s="324">
        <f t="shared" si="107"/>
        <v>135630</v>
      </c>
      <c r="T365" s="638">
        <f t="shared" si="117"/>
        <v>135630</v>
      </c>
      <c r="U365" s="351">
        <v>16101.6</v>
      </c>
      <c r="V365" s="80">
        <f t="shared" si="121"/>
        <v>4521</v>
      </c>
      <c r="W365" s="79"/>
      <c r="X365" s="322"/>
      <c r="Y365" s="79"/>
      <c r="Z365" s="322"/>
      <c r="AA365" s="79"/>
      <c r="AB365" s="322"/>
      <c r="AC365" s="79"/>
      <c r="AD365" s="322"/>
      <c r="AE365" s="323">
        <f t="shared" si="108"/>
        <v>0</v>
      </c>
      <c r="AF365" s="638">
        <f t="shared" si="118"/>
        <v>0</v>
      </c>
      <c r="AG365" s="322"/>
      <c r="AH365" s="90">
        <f t="shared" si="109"/>
        <v>0</v>
      </c>
      <c r="AI365" s="80">
        <f t="shared" si="110"/>
        <v>0</v>
      </c>
      <c r="AJ365" s="638">
        <f t="shared" si="119"/>
        <v>0</v>
      </c>
      <c r="AK365" s="322"/>
      <c r="AL365" s="80">
        <f t="shared" si="111"/>
        <v>0</v>
      </c>
      <c r="AM365" s="79"/>
      <c r="AN365" s="322"/>
      <c r="AO365" s="79"/>
      <c r="AP365" s="322"/>
      <c r="AQ365" s="79"/>
      <c r="AR365" s="322"/>
      <c r="AS365" s="79"/>
      <c r="AT365" s="322"/>
      <c r="AU365" s="325">
        <f t="shared" si="112"/>
        <v>0</v>
      </c>
      <c r="AV365" s="90">
        <f t="shared" si="122"/>
        <v>0</v>
      </c>
      <c r="AW365" s="324">
        <f t="shared" si="113"/>
        <v>0</v>
      </c>
      <c r="AX365" s="80">
        <f t="shared" si="123"/>
        <v>0</v>
      </c>
      <c r="AY365" s="326">
        <f t="shared" si="114"/>
        <v>4286.08</v>
      </c>
      <c r="AZ365" s="80">
        <f t="shared" si="115"/>
        <v>4521</v>
      </c>
    </row>
    <row r="366" spans="1:52">
      <c r="A366" s="94" t="s">
        <v>596</v>
      </c>
      <c r="B366" s="94" t="s">
        <v>622</v>
      </c>
      <c r="C366" s="232">
        <v>198817</v>
      </c>
      <c r="D366" s="104">
        <v>9</v>
      </c>
      <c r="E366" s="162" t="s">
        <v>442</v>
      </c>
      <c r="F366" s="163" t="s">
        <v>442</v>
      </c>
      <c r="G366" s="79"/>
      <c r="H366" s="322"/>
      <c r="I366" s="79">
        <v>44351.7</v>
      </c>
      <c r="J366" s="351">
        <v>47910</v>
      </c>
      <c r="K366" s="79">
        <v>16758.3</v>
      </c>
      <c r="L366" s="351">
        <v>17970</v>
      </c>
      <c r="M366" s="79">
        <v>46166.1</v>
      </c>
      <c r="N366" s="351">
        <v>50040</v>
      </c>
      <c r="O366" s="323">
        <f t="shared" si="106"/>
        <v>107276.1</v>
      </c>
      <c r="P366" s="638">
        <f t="shared" si="116"/>
        <v>107276.1</v>
      </c>
      <c r="Q366" s="351">
        <v>3052.5</v>
      </c>
      <c r="R366" s="90">
        <f t="shared" si="120"/>
        <v>3575.8700000000003</v>
      </c>
      <c r="S366" s="324">
        <f t="shared" si="107"/>
        <v>115920</v>
      </c>
      <c r="T366" s="638">
        <f t="shared" si="117"/>
        <v>115920</v>
      </c>
      <c r="U366" s="351">
        <v>4818.8999999999996</v>
      </c>
      <c r="V366" s="80">
        <f t="shared" si="121"/>
        <v>3864</v>
      </c>
      <c r="W366" s="79"/>
      <c r="X366" s="322"/>
      <c r="Y366" s="79"/>
      <c r="Z366" s="322"/>
      <c r="AA366" s="79"/>
      <c r="AB366" s="322"/>
      <c r="AC366" s="79"/>
      <c r="AD366" s="322"/>
      <c r="AE366" s="323">
        <f t="shared" si="108"/>
        <v>0</v>
      </c>
      <c r="AF366" s="638">
        <f t="shared" si="118"/>
        <v>0</v>
      </c>
      <c r="AG366" s="322"/>
      <c r="AH366" s="90">
        <f t="shared" si="109"/>
        <v>0</v>
      </c>
      <c r="AI366" s="80">
        <f t="shared" si="110"/>
        <v>0</v>
      </c>
      <c r="AJ366" s="638">
        <f t="shared" si="119"/>
        <v>0</v>
      </c>
      <c r="AK366" s="322"/>
      <c r="AL366" s="80">
        <f t="shared" si="111"/>
        <v>0</v>
      </c>
      <c r="AM366" s="79"/>
      <c r="AN366" s="322"/>
      <c r="AO366" s="79"/>
      <c r="AP366" s="322"/>
      <c r="AQ366" s="79"/>
      <c r="AR366" s="322"/>
      <c r="AS366" s="79"/>
      <c r="AT366" s="322"/>
      <c r="AU366" s="325">
        <f t="shared" si="112"/>
        <v>0</v>
      </c>
      <c r="AV366" s="90">
        <f t="shared" si="122"/>
        <v>0</v>
      </c>
      <c r="AW366" s="324">
        <f t="shared" si="113"/>
        <v>0</v>
      </c>
      <c r="AX366" s="80">
        <f t="shared" si="123"/>
        <v>0</v>
      </c>
      <c r="AY366" s="326">
        <f t="shared" si="114"/>
        <v>3575.8700000000003</v>
      </c>
      <c r="AZ366" s="80">
        <f t="shared" si="115"/>
        <v>3864</v>
      </c>
    </row>
    <row r="367" spans="1:52">
      <c r="A367" s="94" t="s">
        <v>596</v>
      </c>
      <c r="B367" s="392" t="s">
        <v>648</v>
      </c>
      <c r="C367" s="393">
        <v>198914</v>
      </c>
      <c r="D367" s="378">
        <v>9</v>
      </c>
      <c r="E367" s="162" t="s">
        <v>442</v>
      </c>
      <c r="F367" s="163" t="s">
        <v>442</v>
      </c>
      <c r="G367" s="79"/>
      <c r="H367" s="322"/>
      <c r="I367" s="79">
        <v>25375.5</v>
      </c>
      <c r="J367" s="351">
        <v>26160</v>
      </c>
      <c r="K367" s="79">
        <v>8866.2000000000007</v>
      </c>
      <c r="L367" s="351">
        <v>8550</v>
      </c>
      <c r="M367" s="79">
        <v>25807.200000000001</v>
      </c>
      <c r="N367" s="351">
        <v>26550</v>
      </c>
      <c r="O367" s="323">
        <f t="shared" si="106"/>
        <v>60048.899999999994</v>
      </c>
      <c r="P367" s="638">
        <f t="shared" si="116"/>
        <v>60048.899999999994</v>
      </c>
      <c r="Q367" s="351">
        <v>7551.6</v>
      </c>
      <c r="R367" s="90">
        <f t="shared" si="120"/>
        <v>2001.6299999999999</v>
      </c>
      <c r="S367" s="324">
        <f t="shared" si="107"/>
        <v>61260</v>
      </c>
      <c r="T367" s="638">
        <f t="shared" si="117"/>
        <v>61260</v>
      </c>
      <c r="U367" s="351">
        <v>7393.8</v>
      </c>
      <c r="V367" s="80">
        <f t="shared" si="121"/>
        <v>2042</v>
      </c>
      <c r="W367" s="79"/>
      <c r="X367" s="322"/>
      <c r="Y367" s="79"/>
      <c r="Z367" s="322"/>
      <c r="AA367" s="79"/>
      <c r="AB367" s="322"/>
      <c r="AC367" s="79"/>
      <c r="AD367" s="322"/>
      <c r="AE367" s="323">
        <f t="shared" si="108"/>
        <v>0</v>
      </c>
      <c r="AF367" s="638">
        <f t="shared" si="118"/>
        <v>0</v>
      </c>
      <c r="AG367" s="322"/>
      <c r="AH367" s="90">
        <f t="shared" si="109"/>
        <v>0</v>
      </c>
      <c r="AI367" s="80">
        <f t="shared" si="110"/>
        <v>0</v>
      </c>
      <c r="AJ367" s="638">
        <f t="shared" si="119"/>
        <v>0</v>
      </c>
      <c r="AK367" s="322"/>
      <c r="AL367" s="80">
        <f t="shared" si="111"/>
        <v>0</v>
      </c>
      <c r="AM367" s="79"/>
      <c r="AN367" s="322"/>
      <c r="AO367" s="79"/>
      <c r="AP367" s="322"/>
      <c r="AQ367" s="79"/>
      <c r="AR367" s="322"/>
      <c r="AS367" s="79"/>
      <c r="AT367" s="322"/>
      <c r="AU367" s="325">
        <f t="shared" si="112"/>
        <v>0</v>
      </c>
      <c r="AV367" s="90">
        <f t="shared" si="122"/>
        <v>0</v>
      </c>
      <c r="AW367" s="324">
        <f t="shared" si="113"/>
        <v>0</v>
      </c>
      <c r="AX367" s="80">
        <f t="shared" si="123"/>
        <v>0</v>
      </c>
      <c r="AY367" s="326">
        <f t="shared" si="114"/>
        <v>2001.6299999999999</v>
      </c>
      <c r="AZ367" s="80">
        <f t="shared" si="115"/>
        <v>2042</v>
      </c>
    </row>
    <row r="368" spans="1:52">
      <c r="A368" s="94" t="s">
        <v>596</v>
      </c>
      <c r="B368" s="94" t="s">
        <v>623</v>
      </c>
      <c r="C368" s="232">
        <v>198987</v>
      </c>
      <c r="D368" s="104">
        <v>9</v>
      </c>
      <c r="E368" s="162" t="s">
        <v>442</v>
      </c>
      <c r="F368" s="163" t="s">
        <v>442</v>
      </c>
      <c r="G368" s="79"/>
      <c r="H368" s="322"/>
      <c r="I368" s="79">
        <v>30348.3</v>
      </c>
      <c r="J368" s="351">
        <v>34350</v>
      </c>
      <c r="K368" s="79">
        <v>8579.7000000000007</v>
      </c>
      <c r="L368" s="351">
        <v>9720</v>
      </c>
      <c r="M368" s="79">
        <v>34473.300000000003</v>
      </c>
      <c r="N368" s="351">
        <v>38970</v>
      </c>
      <c r="O368" s="323">
        <f t="shared" si="106"/>
        <v>73401.3</v>
      </c>
      <c r="P368" s="638">
        <f t="shared" si="116"/>
        <v>73401.3</v>
      </c>
      <c r="Q368" s="351">
        <v>3261.6</v>
      </c>
      <c r="R368" s="90">
        <f t="shared" si="120"/>
        <v>2446.71</v>
      </c>
      <c r="S368" s="324">
        <f t="shared" si="107"/>
        <v>83040</v>
      </c>
      <c r="T368" s="638">
        <f t="shared" si="117"/>
        <v>83040</v>
      </c>
      <c r="U368" s="351">
        <v>2363.4</v>
      </c>
      <c r="V368" s="80">
        <f t="shared" si="121"/>
        <v>2768</v>
      </c>
      <c r="W368" s="79"/>
      <c r="X368" s="322"/>
      <c r="Y368" s="79"/>
      <c r="Z368" s="322"/>
      <c r="AA368" s="79"/>
      <c r="AB368" s="322"/>
      <c r="AC368" s="79"/>
      <c r="AD368" s="322"/>
      <c r="AE368" s="323">
        <f t="shared" si="108"/>
        <v>0</v>
      </c>
      <c r="AF368" s="638">
        <f t="shared" si="118"/>
        <v>0</v>
      </c>
      <c r="AG368" s="322"/>
      <c r="AH368" s="90">
        <f t="shared" si="109"/>
        <v>0</v>
      </c>
      <c r="AI368" s="80">
        <f t="shared" si="110"/>
        <v>0</v>
      </c>
      <c r="AJ368" s="638">
        <f t="shared" si="119"/>
        <v>0</v>
      </c>
      <c r="AK368" s="322"/>
      <c r="AL368" s="80">
        <f t="shared" si="111"/>
        <v>0</v>
      </c>
      <c r="AM368" s="79"/>
      <c r="AN368" s="322"/>
      <c r="AO368" s="79"/>
      <c r="AP368" s="322"/>
      <c r="AQ368" s="79"/>
      <c r="AR368" s="322"/>
      <c r="AS368" s="79"/>
      <c r="AT368" s="322"/>
      <c r="AU368" s="325">
        <f t="shared" si="112"/>
        <v>0</v>
      </c>
      <c r="AV368" s="90">
        <f t="shared" si="122"/>
        <v>0</v>
      </c>
      <c r="AW368" s="324">
        <f t="shared" si="113"/>
        <v>0</v>
      </c>
      <c r="AX368" s="80">
        <f t="shared" si="123"/>
        <v>0</v>
      </c>
      <c r="AY368" s="326">
        <f t="shared" si="114"/>
        <v>2446.71</v>
      </c>
      <c r="AZ368" s="80">
        <f t="shared" si="115"/>
        <v>2768</v>
      </c>
    </row>
    <row r="369" spans="1:52">
      <c r="A369" s="94" t="s">
        <v>596</v>
      </c>
      <c r="B369" s="94" t="s">
        <v>624</v>
      </c>
      <c r="C369" s="232">
        <v>199087</v>
      </c>
      <c r="D369" s="95">
        <v>9</v>
      </c>
      <c r="E369" s="162" t="s">
        <v>442</v>
      </c>
      <c r="F369" s="163" t="s">
        <v>442</v>
      </c>
      <c r="G369" s="79"/>
      <c r="H369" s="322"/>
      <c r="I369" s="79">
        <v>34855.800000000003</v>
      </c>
      <c r="J369" s="351">
        <v>35790</v>
      </c>
      <c r="K369" s="79">
        <v>7971.3</v>
      </c>
      <c r="L369" s="351">
        <v>8700</v>
      </c>
      <c r="M369" s="79">
        <v>38862</v>
      </c>
      <c r="N369" s="351">
        <v>38610</v>
      </c>
      <c r="O369" s="323">
        <f t="shared" si="106"/>
        <v>81689.100000000006</v>
      </c>
      <c r="P369" s="638">
        <f t="shared" si="116"/>
        <v>81689.100000000006</v>
      </c>
      <c r="Q369" s="351">
        <v>4656.6000000000004</v>
      </c>
      <c r="R369" s="90">
        <f t="shared" si="120"/>
        <v>2722.9700000000003</v>
      </c>
      <c r="S369" s="324">
        <f t="shared" si="107"/>
        <v>83100</v>
      </c>
      <c r="T369" s="638">
        <f t="shared" si="117"/>
        <v>83100</v>
      </c>
      <c r="U369" s="351">
        <v>5916.6</v>
      </c>
      <c r="V369" s="80">
        <f t="shared" si="121"/>
        <v>2770</v>
      </c>
      <c r="W369" s="79"/>
      <c r="X369" s="322"/>
      <c r="Y369" s="79"/>
      <c r="Z369" s="322"/>
      <c r="AA369" s="79"/>
      <c r="AB369" s="322"/>
      <c r="AC369" s="79"/>
      <c r="AD369" s="322"/>
      <c r="AE369" s="323">
        <f t="shared" si="108"/>
        <v>0</v>
      </c>
      <c r="AF369" s="638">
        <f t="shared" si="118"/>
        <v>0</v>
      </c>
      <c r="AG369" s="322"/>
      <c r="AH369" s="90">
        <f t="shared" si="109"/>
        <v>0</v>
      </c>
      <c r="AI369" s="80">
        <f t="shared" si="110"/>
        <v>0</v>
      </c>
      <c r="AJ369" s="638">
        <f t="shared" si="119"/>
        <v>0</v>
      </c>
      <c r="AK369" s="322"/>
      <c r="AL369" s="80">
        <f t="shared" si="111"/>
        <v>0</v>
      </c>
      <c r="AM369" s="79"/>
      <c r="AN369" s="322"/>
      <c r="AO369" s="79"/>
      <c r="AP369" s="322"/>
      <c r="AQ369" s="79"/>
      <c r="AR369" s="322"/>
      <c r="AS369" s="79"/>
      <c r="AT369" s="322"/>
      <c r="AU369" s="325">
        <f t="shared" si="112"/>
        <v>0</v>
      </c>
      <c r="AV369" s="90">
        <f t="shared" si="122"/>
        <v>0</v>
      </c>
      <c r="AW369" s="324">
        <f t="shared" si="113"/>
        <v>0</v>
      </c>
      <c r="AX369" s="80">
        <f t="shared" si="123"/>
        <v>0</v>
      </c>
      <c r="AY369" s="326">
        <f t="shared" si="114"/>
        <v>2722.9700000000003</v>
      </c>
      <c r="AZ369" s="80">
        <f t="shared" si="115"/>
        <v>2770</v>
      </c>
    </row>
    <row r="370" spans="1:52">
      <c r="A370" s="94" t="s">
        <v>596</v>
      </c>
      <c r="B370" s="94" t="s">
        <v>625</v>
      </c>
      <c r="C370" s="232">
        <v>199324</v>
      </c>
      <c r="D370" s="104">
        <v>9</v>
      </c>
      <c r="E370" s="162" t="s">
        <v>442</v>
      </c>
      <c r="F370" s="163" t="s">
        <v>442</v>
      </c>
      <c r="G370" s="79"/>
      <c r="H370" s="322"/>
      <c r="I370" s="79">
        <v>38240.1</v>
      </c>
      <c r="J370" s="351">
        <v>37890</v>
      </c>
      <c r="K370" s="79">
        <v>10003.5</v>
      </c>
      <c r="L370" s="351">
        <v>8850</v>
      </c>
      <c r="M370" s="79">
        <v>39345.300000000003</v>
      </c>
      <c r="N370" s="351">
        <v>39900</v>
      </c>
      <c r="O370" s="323">
        <f t="shared" si="106"/>
        <v>87588.9</v>
      </c>
      <c r="P370" s="638">
        <f t="shared" si="116"/>
        <v>87588.9</v>
      </c>
      <c r="Q370" s="351">
        <v>13527.9</v>
      </c>
      <c r="R370" s="90">
        <f t="shared" si="120"/>
        <v>2919.6299999999997</v>
      </c>
      <c r="S370" s="324">
        <f t="shared" si="107"/>
        <v>86640</v>
      </c>
      <c r="T370" s="638">
        <f t="shared" si="117"/>
        <v>86640</v>
      </c>
      <c r="U370" s="351">
        <v>14401.2</v>
      </c>
      <c r="V370" s="80">
        <f t="shared" si="121"/>
        <v>2888</v>
      </c>
      <c r="W370" s="79"/>
      <c r="X370" s="322"/>
      <c r="Y370" s="79"/>
      <c r="Z370" s="322"/>
      <c r="AA370" s="79"/>
      <c r="AB370" s="322"/>
      <c r="AC370" s="79"/>
      <c r="AD370" s="322"/>
      <c r="AE370" s="323">
        <f t="shared" si="108"/>
        <v>0</v>
      </c>
      <c r="AF370" s="638">
        <f t="shared" si="118"/>
        <v>0</v>
      </c>
      <c r="AG370" s="322"/>
      <c r="AH370" s="90">
        <f t="shared" si="109"/>
        <v>0</v>
      </c>
      <c r="AI370" s="80">
        <f t="shared" si="110"/>
        <v>0</v>
      </c>
      <c r="AJ370" s="638">
        <f t="shared" si="119"/>
        <v>0</v>
      </c>
      <c r="AK370" s="322"/>
      <c r="AL370" s="80">
        <f t="shared" si="111"/>
        <v>0</v>
      </c>
      <c r="AM370" s="79"/>
      <c r="AN370" s="322"/>
      <c r="AO370" s="79"/>
      <c r="AP370" s="322"/>
      <c r="AQ370" s="79"/>
      <c r="AR370" s="322"/>
      <c r="AS370" s="79"/>
      <c r="AT370" s="322"/>
      <c r="AU370" s="325">
        <f t="shared" si="112"/>
        <v>0</v>
      </c>
      <c r="AV370" s="90">
        <f t="shared" si="122"/>
        <v>0</v>
      </c>
      <c r="AW370" s="324">
        <f t="shared" si="113"/>
        <v>0</v>
      </c>
      <c r="AX370" s="80">
        <f t="shared" si="123"/>
        <v>0</v>
      </c>
      <c r="AY370" s="326">
        <f t="shared" si="114"/>
        <v>2919.6299999999997</v>
      </c>
      <c r="AZ370" s="80">
        <f t="shared" si="115"/>
        <v>2888</v>
      </c>
    </row>
    <row r="371" spans="1:52">
      <c r="A371" s="94" t="s">
        <v>596</v>
      </c>
      <c r="B371" s="94" t="s">
        <v>626</v>
      </c>
      <c r="C371" s="232">
        <v>199421</v>
      </c>
      <c r="D371" s="104">
        <v>9</v>
      </c>
      <c r="E371" s="162" t="s">
        <v>442</v>
      </c>
      <c r="F371" s="163" t="s">
        <v>442</v>
      </c>
      <c r="G371" s="79"/>
      <c r="H371" s="322"/>
      <c r="I371" s="79">
        <v>32471.1</v>
      </c>
      <c r="J371" s="351">
        <v>33210</v>
      </c>
      <c r="K371" s="79">
        <v>15437.1</v>
      </c>
      <c r="L371" s="351">
        <v>13980</v>
      </c>
      <c r="M371" s="79">
        <v>34741.800000000003</v>
      </c>
      <c r="N371" s="351">
        <v>36690</v>
      </c>
      <c r="O371" s="323">
        <f t="shared" si="106"/>
        <v>82650</v>
      </c>
      <c r="P371" s="638">
        <f t="shared" si="116"/>
        <v>82650</v>
      </c>
      <c r="Q371" s="351">
        <v>2985</v>
      </c>
      <c r="R371" s="90">
        <f t="shared" si="120"/>
        <v>2755</v>
      </c>
      <c r="S371" s="324">
        <f t="shared" si="107"/>
        <v>83880</v>
      </c>
      <c r="T371" s="638">
        <f t="shared" si="117"/>
        <v>83880</v>
      </c>
      <c r="U371" s="351">
        <v>4573.2</v>
      </c>
      <c r="V371" s="80">
        <f t="shared" si="121"/>
        <v>2796</v>
      </c>
      <c r="W371" s="79"/>
      <c r="X371" s="322"/>
      <c r="Y371" s="79"/>
      <c r="Z371" s="322"/>
      <c r="AA371" s="79"/>
      <c r="AB371" s="322"/>
      <c r="AC371" s="79"/>
      <c r="AD371" s="322"/>
      <c r="AE371" s="323">
        <f t="shared" si="108"/>
        <v>0</v>
      </c>
      <c r="AF371" s="638">
        <f t="shared" si="118"/>
        <v>0</v>
      </c>
      <c r="AG371" s="322"/>
      <c r="AH371" s="90">
        <f t="shared" si="109"/>
        <v>0</v>
      </c>
      <c r="AI371" s="80">
        <f t="shared" si="110"/>
        <v>0</v>
      </c>
      <c r="AJ371" s="638">
        <f t="shared" si="119"/>
        <v>0</v>
      </c>
      <c r="AK371" s="322"/>
      <c r="AL371" s="80">
        <f t="shared" si="111"/>
        <v>0</v>
      </c>
      <c r="AM371" s="79"/>
      <c r="AN371" s="322"/>
      <c r="AO371" s="79"/>
      <c r="AP371" s="322"/>
      <c r="AQ371" s="79"/>
      <c r="AR371" s="322"/>
      <c r="AS371" s="79"/>
      <c r="AT371" s="322"/>
      <c r="AU371" s="325">
        <f t="shared" si="112"/>
        <v>0</v>
      </c>
      <c r="AV371" s="90">
        <f t="shared" si="122"/>
        <v>0</v>
      </c>
      <c r="AW371" s="324">
        <f t="shared" si="113"/>
        <v>0</v>
      </c>
      <c r="AX371" s="80">
        <f t="shared" si="123"/>
        <v>0</v>
      </c>
      <c r="AY371" s="326">
        <f t="shared" si="114"/>
        <v>2755</v>
      </c>
      <c r="AZ371" s="80">
        <f t="shared" si="115"/>
        <v>2796</v>
      </c>
    </row>
    <row r="372" spans="1:52">
      <c r="A372" s="94" t="s">
        <v>596</v>
      </c>
      <c r="B372" s="94" t="s">
        <v>627</v>
      </c>
      <c r="C372" s="232">
        <v>199449</v>
      </c>
      <c r="D372" s="95">
        <v>9</v>
      </c>
      <c r="E372" s="162" t="s">
        <v>442</v>
      </c>
      <c r="F372" s="163" t="s">
        <v>442</v>
      </c>
      <c r="G372" s="79"/>
      <c r="H372" s="322"/>
      <c r="I372" s="79">
        <v>27529.200000000001</v>
      </c>
      <c r="J372" s="351">
        <v>28410</v>
      </c>
      <c r="K372" s="79">
        <v>9811.7999999999993</v>
      </c>
      <c r="L372" s="351">
        <v>9960</v>
      </c>
      <c r="M372" s="79">
        <v>29733</v>
      </c>
      <c r="N372" s="351">
        <v>29580</v>
      </c>
      <c r="O372" s="323">
        <f t="shared" si="106"/>
        <v>67074</v>
      </c>
      <c r="P372" s="638">
        <f t="shared" si="116"/>
        <v>67074</v>
      </c>
      <c r="Q372" s="351">
        <v>819.3</v>
      </c>
      <c r="R372" s="90">
        <f t="shared" si="120"/>
        <v>2235.8000000000002</v>
      </c>
      <c r="S372" s="324">
        <f t="shared" si="107"/>
        <v>67950</v>
      </c>
      <c r="T372" s="638">
        <f t="shared" si="117"/>
        <v>67950</v>
      </c>
      <c r="U372" s="351">
        <v>1954.2</v>
      </c>
      <c r="V372" s="80">
        <f t="shared" si="121"/>
        <v>2265</v>
      </c>
      <c r="W372" s="79"/>
      <c r="X372" s="322"/>
      <c r="Y372" s="79"/>
      <c r="Z372" s="322"/>
      <c r="AA372" s="79"/>
      <c r="AB372" s="322"/>
      <c r="AC372" s="79"/>
      <c r="AD372" s="322"/>
      <c r="AE372" s="323">
        <f t="shared" si="108"/>
        <v>0</v>
      </c>
      <c r="AF372" s="638">
        <f t="shared" si="118"/>
        <v>0</v>
      </c>
      <c r="AG372" s="322"/>
      <c r="AH372" s="90">
        <f t="shared" si="109"/>
        <v>0</v>
      </c>
      <c r="AI372" s="80">
        <f t="shared" si="110"/>
        <v>0</v>
      </c>
      <c r="AJ372" s="638">
        <f t="shared" si="119"/>
        <v>0</v>
      </c>
      <c r="AK372" s="322"/>
      <c r="AL372" s="80">
        <f t="shared" si="111"/>
        <v>0</v>
      </c>
      <c r="AM372" s="79"/>
      <c r="AN372" s="322"/>
      <c r="AO372" s="79"/>
      <c r="AP372" s="322"/>
      <c r="AQ372" s="79"/>
      <c r="AR372" s="322"/>
      <c r="AS372" s="79"/>
      <c r="AT372" s="322"/>
      <c r="AU372" s="325">
        <f t="shared" si="112"/>
        <v>0</v>
      </c>
      <c r="AV372" s="90">
        <f t="shared" si="122"/>
        <v>0</v>
      </c>
      <c r="AW372" s="324">
        <f t="shared" si="113"/>
        <v>0</v>
      </c>
      <c r="AX372" s="80">
        <f t="shared" si="123"/>
        <v>0</v>
      </c>
      <c r="AY372" s="326">
        <f t="shared" si="114"/>
        <v>2235.8000000000002</v>
      </c>
      <c r="AZ372" s="80">
        <f t="shared" si="115"/>
        <v>2265</v>
      </c>
    </row>
    <row r="373" spans="1:52">
      <c r="A373" s="94" t="s">
        <v>596</v>
      </c>
      <c r="B373" s="94" t="s">
        <v>628</v>
      </c>
      <c r="C373" s="232">
        <v>199476</v>
      </c>
      <c r="D373" s="95">
        <v>9</v>
      </c>
      <c r="E373" s="162" t="s">
        <v>442</v>
      </c>
      <c r="F373" s="163" t="s">
        <v>442</v>
      </c>
      <c r="G373" s="79"/>
      <c r="H373" s="322"/>
      <c r="I373" s="79">
        <v>49696.5</v>
      </c>
      <c r="J373" s="351">
        <v>47250</v>
      </c>
      <c r="K373" s="79">
        <v>20427.900000000001</v>
      </c>
      <c r="L373" s="351">
        <v>18420</v>
      </c>
      <c r="M373" s="79">
        <v>48988.800000000003</v>
      </c>
      <c r="N373" s="351">
        <v>50850</v>
      </c>
      <c r="O373" s="323">
        <f t="shared" si="106"/>
        <v>119113.2</v>
      </c>
      <c r="P373" s="638">
        <f t="shared" si="116"/>
        <v>119113.2</v>
      </c>
      <c r="Q373" s="351">
        <v>1025.6999999999998</v>
      </c>
      <c r="R373" s="90">
        <f t="shared" si="120"/>
        <v>3970.44</v>
      </c>
      <c r="S373" s="324">
        <f t="shared" si="107"/>
        <v>116520</v>
      </c>
      <c r="T373" s="638">
        <f t="shared" si="117"/>
        <v>116520</v>
      </c>
      <c r="U373" s="351">
        <v>1586.4</v>
      </c>
      <c r="V373" s="80">
        <f t="shared" si="121"/>
        <v>3884</v>
      </c>
      <c r="W373" s="79"/>
      <c r="X373" s="322"/>
      <c r="Y373" s="79"/>
      <c r="Z373" s="322"/>
      <c r="AA373" s="79"/>
      <c r="AB373" s="322"/>
      <c r="AC373" s="79"/>
      <c r="AD373" s="322"/>
      <c r="AE373" s="323">
        <f t="shared" si="108"/>
        <v>0</v>
      </c>
      <c r="AF373" s="638">
        <f t="shared" si="118"/>
        <v>0</v>
      </c>
      <c r="AG373" s="322"/>
      <c r="AH373" s="90">
        <f t="shared" si="109"/>
        <v>0</v>
      </c>
      <c r="AI373" s="80">
        <f t="shared" si="110"/>
        <v>0</v>
      </c>
      <c r="AJ373" s="638">
        <f t="shared" si="119"/>
        <v>0</v>
      </c>
      <c r="AK373" s="322"/>
      <c r="AL373" s="80">
        <f t="shared" si="111"/>
        <v>0</v>
      </c>
      <c r="AM373" s="79"/>
      <c r="AN373" s="322"/>
      <c r="AO373" s="79"/>
      <c r="AP373" s="322"/>
      <c r="AQ373" s="79"/>
      <c r="AR373" s="322"/>
      <c r="AS373" s="79"/>
      <c r="AT373" s="322"/>
      <c r="AU373" s="325">
        <f t="shared" si="112"/>
        <v>0</v>
      </c>
      <c r="AV373" s="90">
        <f t="shared" si="122"/>
        <v>0</v>
      </c>
      <c r="AW373" s="324">
        <f t="shared" si="113"/>
        <v>0</v>
      </c>
      <c r="AX373" s="80">
        <f t="shared" si="123"/>
        <v>0</v>
      </c>
      <c r="AY373" s="326">
        <f t="shared" si="114"/>
        <v>3970.44</v>
      </c>
      <c r="AZ373" s="80">
        <f t="shared" si="115"/>
        <v>3884</v>
      </c>
    </row>
    <row r="374" spans="1:52">
      <c r="A374" s="94" t="s">
        <v>596</v>
      </c>
      <c r="B374" s="94" t="s">
        <v>629</v>
      </c>
      <c r="C374" s="232">
        <v>199485</v>
      </c>
      <c r="D374" s="95">
        <v>9</v>
      </c>
      <c r="E374" s="162" t="s">
        <v>442</v>
      </c>
      <c r="F374" s="163" t="s">
        <v>442</v>
      </c>
      <c r="G374" s="79"/>
      <c r="H374" s="322"/>
      <c r="I374" s="79">
        <v>28234.5</v>
      </c>
      <c r="J374" s="351">
        <v>27180</v>
      </c>
      <c r="K374" s="79">
        <v>8923.7999999999993</v>
      </c>
      <c r="L374" s="351">
        <v>9120</v>
      </c>
      <c r="M374" s="79">
        <v>30387.9</v>
      </c>
      <c r="N374" s="351">
        <v>30870</v>
      </c>
      <c r="O374" s="323">
        <f t="shared" si="106"/>
        <v>67546.200000000012</v>
      </c>
      <c r="P374" s="638">
        <f t="shared" si="116"/>
        <v>67546.200000000012</v>
      </c>
      <c r="Q374" s="351">
        <v>700.2</v>
      </c>
      <c r="R374" s="90">
        <f t="shared" si="120"/>
        <v>2251.5400000000004</v>
      </c>
      <c r="S374" s="324">
        <f t="shared" si="107"/>
        <v>67170</v>
      </c>
      <c r="T374" s="638">
        <f t="shared" si="117"/>
        <v>67170</v>
      </c>
      <c r="U374" s="351">
        <v>718.2</v>
      </c>
      <c r="V374" s="80">
        <f t="shared" si="121"/>
        <v>2239</v>
      </c>
      <c r="W374" s="79"/>
      <c r="X374" s="322"/>
      <c r="Y374" s="79"/>
      <c r="Z374" s="322"/>
      <c r="AA374" s="79"/>
      <c r="AB374" s="322"/>
      <c r="AC374" s="79"/>
      <c r="AD374" s="322"/>
      <c r="AE374" s="323">
        <f t="shared" si="108"/>
        <v>0</v>
      </c>
      <c r="AF374" s="638">
        <f t="shared" si="118"/>
        <v>0</v>
      </c>
      <c r="AG374" s="322"/>
      <c r="AH374" s="90">
        <f t="shared" si="109"/>
        <v>0</v>
      </c>
      <c r="AI374" s="80">
        <f t="shared" si="110"/>
        <v>0</v>
      </c>
      <c r="AJ374" s="638">
        <f t="shared" si="119"/>
        <v>0</v>
      </c>
      <c r="AK374" s="322"/>
      <c r="AL374" s="80">
        <f t="shared" si="111"/>
        <v>0</v>
      </c>
      <c r="AM374" s="79"/>
      <c r="AN374" s="322"/>
      <c r="AO374" s="79"/>
      <c r="AP374" s="322"/>
      <c r="AQ374" s="79"/>
      <c r="AR374" s="322"/>
      <c r="AS374" s="79"/>
      <c r="AT374" s="322"/>
      <c r="AU374" s="325">
        <f t="shared" si="112"/>
        <v>0</v>
      </c>
      <c r="AV374" s="90">
        <f t="shared" si="122"/>
        <v>0</v>
      </c>
      <c r="AW374" s="324">
        <f t="shared" si="113"/>
        <v>0</v>
      </c>
      <c r="AX374" s="80">
        <f t="shared" si="123"/>
        <v>0</v>
      </c>
      <c r="AY374" s="326">
        <f t="shared" si="114"/>
        <v>2251.5400000000004</v>
      </c>
      <c r="AZ374" s="80">
        <f t="shared" si="115"/>
        <v>2239</v>
      </c>
    </row>
    <row r="375" spans="1:52">
      <c r="A375" s="94" t="s">
        <v>596</v>
      </c>
      <c r="B375" s="94" t="s">
        <v>631</v>
      </c>
      <c r="C375" s="232">
        <v>199634</v>
      </c>
      <c r="D375" s="95">
        <v>9</v>
      </c>
      <c r="E375" s="162" t="s">
        <v>442</v>
      </c>
      <c r="F375" s="163" t="s">
        <v>442</v>
      </c>
      <c r="G375" s="79"/>
      <c r="H375" s="322"/>
      <c r="I375" s="79">
        <v>52218.9</v>
      </c>
      <c r="J375" s="351">
        <v>52860</v>
      </c>
      <c r="K375" s="79">
        <v>15322.2</v>
      </c>
      <c r="L375" s="351">
        <v>16230</v>
      </c>
      <c r="M375" s="79">
        <v>54869.1</v>
      </c>
      <c r="N375" s="351">
        <v>55950</v>
      </c>
      <c r="O375" s="323">
        <f t="shared" si="106"/>
        <v>122410.20000000001</v>
      </c>
      <c r="P375" s="638">
        <f t="shared" si="116"/>
        <v>122410.20000000001</v>
      </c>
      <c r="Q375" s="351">
        <v>5536.8</v>
      </c>
      <c r="R375" s="90">
        <f t="shared" si="120"/>
        <v>4080.3400000000006</v>
      </c>
      <c r="S375" s="324">
        <f t="shared" si="107"/>
        <v>125040</v>
      </c>
      <c r="T375" s="638">
        <f t="shared" si="117"/>
        <v>125040</v>
      </c>
      <c r="U375" s="351">
        <v>6424.8</v>
      </c>
      <c r="V375" s="80">
        <f t="shared" si="121"/>
        <v>4168</v>
      </c>
      <c r="W375" s="79"/>
      <c r="X375" s="322"/>
      <c r="Y375" s="79"/>
      <c r="Z375" s="322"/>
      <c r="AA375" s="79"/>
      <c r="AB375" s="322"/>
      <c r="AC375" s="79"/>
      <c r="AD375" s="322"/>
      <c r="AE375" s="323">
        <f t="shared" si="108"/>
        <v>0</v>
      </c>
      <c r="AF375" s="638">
        <f t="shared" si="118"/>
        <v>0</v>
      </c>
      <c r="AG375" s="322"/>
      <c r="AH375" s="90">
        <f t="shared" si="109"/>
        <v>0</v>
      </c>
      <c r="AI375" s="80">
        <f t="shared" si="110"/>
        <v>0</v>
      </c>
      <c r="AJ375" s="638">
        <f t="shared" si="119"/>
        <v>0</v>
      </c>
      <c r="AK375" s="322"/>
      <c r="AL375" s="80">
        <f t="shared" si="111"/>
        <v>0</v>
      </c>
      <c r="AM375" s="79"/>
      <c r="AN375" s="322"/>
      <c r="AO375" s="79"/>
      <c r="AP375" s="322"/>
      <c r="AQ375" s="79"/>
      <c r="AR375" s="322"/>
      <c r="AS375" s="79"/>
      <c r="AT375" s="322"/>
      <c r="AU375" s="325">
        <f t="shared" si="112"/>
        <v>0</v>
      </c>
      <c r="AV375" s="90">
        <f t="shared" si="122"/>
        <v>0</v>
      </c>
      <c r="AW375" s="324">
        <f t="shared" si="113"/>
        <v>0</v>
      </c>
      <c r="AX375" s="80">
        <f t="shared" si="123"/>
        <v>0</v>
      </c>
      <c r="AY375" s="326">
        <f t="shared" si="114"/>
        <v>4080.3400000000006</v>
      </c>
      <c r="AZ375" s="80">
        <f t="shared" si="115"/>
        <v>4168</v>
      </c>
    </row>
    <row r="376" spans="1:52">
      <c r="A376" s="94" t="s">
        <v>596</v>
      </c>
      <c r="B376" s="94" t="s">
        <v>632</v>
      </c>
      <c r="C376" s="232">
        <v>197850</v>
      </c>
      <c r="D376" s="95">
        <v>9</v>
      </c>
      <c r="E376" s="162" t="s">
        <v>442</v>
      </c>
      <c r="F376" s="163" t="s">
        <v>442</v>
      </c>
      <c r="G376" s="79"/>
      <c r="H376" s="322"/>
      <c r="I376" s="79">
        <v>29047.8</v>
      </c>
      <c r="J376" s="351">
        <v>31920</v>
      </c>
      <c r="K376" s="79">
        <v>8410.5</v>
      </c>
      <c r="L376" s="351">
        <v>10200</v>
      </c>
      <c r="M376" s="79">
        <v>31284.3</v>
      </c>
      <c r="N376" s="351">
        <v>34830</v>
      </c>
      <c r="O376" s="323">
        <f t="shared" si="106"/>
        <v>68742.600000000006</v>
      </c>
      <c r="P376" s="638">
        <f t="shared" si="116"/>
        <v>68742.600000000006</v>
      </c>
      <c r="Q376" s="351">
        <v>2486.6999999999998</v>
      </c>
      <c r="R376" s="90">
        <f t="shared" si="120"/>
        <v>2291.42</v>
      </c>
      <c r="S376" s="324">
        <f t="shared" si="107"/>
        <v>76950</v>
      </c>
      <c r="T376" s="638">
        <f t="shared" si="117"/>
        <v>76950</v>
      </c>
      <c r="U376" s="351">
        <v>2736.6</v>
      </c>
      <c r="V376" s="80">
        <f t="shared" si="121"/>
        <v>2565</v>
      </c>
      <c r="W376" s="79"/>
      <c r="X376" s="322"/>
      <c r="Y376" s="79"/>
      <c r="Z376" s="322"/>
      <c r="AA376" s="79"/>
      <c r="AB376" s="322"/>
      <c r="AC376" s="79"/>
      <c r="AD376" s="322"/>
      <c r="AE376" s="323">
        <f t="shared" si="108"/>
        <v>0</v>
      </c>
      <c r="AF376" s="638">
        <f t="shared" si="118"/>
        <v>0</v>
      </c>
      <c r="AG376" s="322"/>
      <c r="AH376" s="90">
        <f t="shared" si="109"/>
        <v>0</v>
      </c>
      <c r="AI376" s="80">
        <f t="shared" si="110"/>
        <v>0</v>
      </c>
      <c r="AJ376" s="638">
        <f t="shared" si="119"/>
        <v>0</v>
      </c>
      <c r="AK376" s="322"/>
      <c r="AL376" s="80">
        <f t="shared" si="111"/>
        <v>0</v>
      </c>
      <c r="AM376" s="79"/>
      <c r="AN376" s="322"/>
      <c r="AO376" s="79"/>
      <c r="AP376" s="322"/>
      <c r="AQ376" s="79"/>
      <c r="AR376" s="322"/>
      <c r="AS376" s="79"/>
      <c r="AT376" s="322"/>
      <c r="AU376" s="325">
        <f t="shared" si="112"/>
        <v>0</v>
      </c>
      <c r="AV376" s="90">
        <f t="shared" si="122"/>
        <v>0</v>
      </c>
      <c r="AW376" s="324">
        <f t="shared" si="113"/>
        <v>0</v>
      </c>
      <c r="AX376" s="80">
        <f t="shared" si="123"/>
        <v>0</v>
      </c>
      <c r="AY376" s="326">
        <f t="shared" si="114"/>
        <v>2291.42</v>
      </c>
      <c r="AZ376" s="80">
        <f t="shared" si="115"/>
        <v>2565</v>
      </c>
    </row>
    <row r="377" spans="1:52">
      <c r="A377" s="94" t="s">
        <v>596</v>
      </c>
      <c r="B377" s="94" t="s">
        <v>633</v>
      </c>
      <c r="C377" s="232">
        <v>199722</v>
      </c>
      <c r="D377" s="95">
        <v>9</v>
      </c>
      <c r="E377" s="162" t="s">
        <v>442</v>
      </c>
      <c r="F377" s="163" t="s">
        <v>442</v>
      </c>
      <c r="G377" s="79"/>
      <c r="H377" s="322"/>
      <c r="I377" s="79">
        <v>34295.1</v>
      </c>
      <c r="J377" s="351">
        <v>33750</v>
      </c>
      <c r="K377" s="79">
        <v>10899.6</v>
      </c>
      <c r="L377" s="351">
        <v>10320</v>
      </c>
      <c r="M377" s="79">
        <v>33498.9</v>
      </c>
      <c r="N377" s="351">
        <v>36210</v>
      </c>
      <c r="O377" s="323">
        <f t="shared" si="106"/>
        <v>78693.600000000006</v>
      </c>
      <c r="P377" s="638">
        <f t="shared" si="116"/>
        <v>78693.600000000006</v>
      </c>
      <c r="Q377" s="351">
        <v>3004.7999999999997</v>
      </c>
      <c r="R377" s="90">
        <f t="shared" si="120"/>
        <v>2623.1200000000003</v>
      </c>
      <c r="S377" s="324">
        <f t="shared" si="107"/>
        <v>80280</v>
      </c>
      <c r="T377" s="638">
        <f t="shared" si="117"/>
        <v>80280</v>
      </c>
      <c r="U377" s="351">
        <v>3751.8</v>
      </c>
      <c r="V377" s="80">
        <f t="shared" si="121"/>
        <v>2676</v>
      </c>
      <c r="W377" s="79"/>
      <c r="X377" s="322"/>
      <c r="Y377" s="79"/>
      <c r="Z377" s="322"/>
      <c r="AA377" s="79"/>
      <c r="AB377" s="322"/>
      <c r="AC377" s="79"/>
      <c r="AD377" s="322"/>
      <c r="AE377" s="323">
        <f t="shared" si="108"/>
        <v>0</v>
      </c>
      <c r="AF377" s="638">
        <f t="shared" si="118"/>
        <v>0</v>
      </c>
      <c r="AG377" s="322"/>
      <c r="AH377" s="90">
        <f t="shared" si="109"/>
        <v>0</v>
      </c>
      <c r="AI377" s="80">
        <f t="shared" si="110"/>
        <v>0</v>
      </c>
      <c r="AJ377" s="638">
        <f t="shared" si="119"/>
        <v>0</v>
      </c>
      <c r="AK377" s="322"/>
      <c r="AL377" s="80">
        <f t="shared" si="111"/>
        <v>0</v>
      </c>
      <c r="AM377" s="79"/>
      <c r="AN377" s="322"/>
      <c r="AO377" s="79"/>
      <c r="AP377" s="322"/>
      <c r="AQ377" s="79"/>
      <c r="AR377" s="322"/>
      <c r="AS377" s="79"/>
      <c r="AT377" s="322"/>
      <c r="AU377" s="325">
        <f t="shared" si="112"/>
        <v>0</v>
      </c>
      <c r="AV377" s="90">
        <f t="shared" si="122"/>
        <v>0</v>
      </c>
      <c r="AW377" s="324">
        <f t="shared" si="113"/>
        <v>0</v>
      </c>
      <c r="AX377" s="80">
        <f t="shared" si="123"/>
        <v>0</v>
      </c>
      <c r="AY377" s="326">
        <f t="shared" si="114"/>
        <v>2623.1200000000003</v>
      </c>
      <c r="AZ377" s="80">
        <f t="shared" si="115"/>
        <v>2676</v>
      </c>
    </row>
    <row r="378" spans="1:52">
      <c r="A378" s="94" t="s">
        <v>596</v>
      </c>
      <c r="B378" s="94" t="s">
        <v>634</v>
      </c>
      <c r="C378" s="232">
        <v>199731</v>
      </c>
      <c r="D378" s="95">
        <v>9</v>
      </c>
      <c r="E378" s="162" t="s">
        <v>442</v>
      </c>
      <c r="F378" s="163" t="s">
        <v>442</v>
      </c>
      <c r="G378" s="79"/>
      <c r="H378" s="322"/>
      <c r="I378" s="79">
        <v>31130.1</v>
      </c>
      <c r="J378" s="351">
        <v>31800</v>
      </c>
      <c r="K378" s="79">
        <v>8774.1</v>
      </c>
      <c r="L378" s="351">
        <v>10020</v>
      </c>
      <c r="M378" s="79">
        <v>32337.3</v>
      </c>
      <c r="N378" s="351">
        <v>35790</v>
      </c>
      <c r="O378" s="323">
        <f t="shared" si="106"/>
        <v>72241.5</v>
      </c>
      <c r="P378" s="638">
        <f t="shared" si="116"/>
        <v>72241.5</v>
      </c>
      <c r="Q378" s="351">
        <v>5305.2</v>
      </c>
      <c r="R378" s="90">
        <f t="shared" si="120"/>
        <v>2408.0500000000002</v>
      </c>
      <c r="S378" s="324">
        <f t="shared" si="107"/>
        <v>77610</v>
      </c>
      <c r="T378" s="638">
        <f t="shared" si="117"/>
        <v>77610</v>
      </c>
      <c r="U378" s="351">
        <v>5591.7</v>
      </c>
      <c r="V378" s="80">
        <f t="shared" si="121"/>
        <v>2587</v>
      </c>
      <c r="W378" s="79"/>
      <c r="X378" s="322"/>
      <c r="Y378" s="79"/>
      <c r="Z378" s="322"/>
      <c r="AA378" s="79"/>
      <c r="AB378" s="322"/>
      <c r="AC378" s="79"/>
      <c r="AD378" s="322"/>
      <c r="AE378" s="323">
        <f t="shared" si="108"/>
        <v>0</v>
      </c>
      <c r="AF378" s="638">
        <f t="shared" si="118"/>
        <v>0</v>
      </c>
      <c r="AG378" s="322"/>
      <c r="AH378" s="90">
        <f t="shared" si="109"/>
        <v>0</v>
      </c>
      <c r="AI378" s="80">
        <f t="shared" si="110"/>
        <v>0</v>
      </c>
      <c r="AJ378" s="638">
        <f t="shared" si="119"/>
        <v>0</v>
      </c>
      <c r="AK378" s="322"/>
      <c r="AL378" s="80">
        <f t="shared" si="111"/>
        <v>0</v>
      </c>
      <c r="AM378" s="79"/>
      <c r="AN378" s="322"/>
      <c r="AO378" s="79"/>
      <c r="AP378" s="322"/>
      <c r="AQ378" s="79"/>
      <c r="AR378" s="322"/>
      <c r="AS378" s="79"/>
      <c r="AT378" s="322"/>
      <c r="AU378" s="325">
        <f t="shared" si="112"/>
        <v>0</v>
      </c>
      <c r="AV378" s="90">
        <f t="shared" si="122"/>
        <v>0</v>
      </c>
      <c r="AW378" s="324">
        <f t="shared" si="113"/>
        <v>0</v>
      </c>
      <c r="AX378" s="80">
        <f t="shared" si="123"/>
        <v>0</v>
      </c>
      <c r="AY378" s="326">
        <f t="shared" si="114"/>
        <v>2408.0500000000002</v>
      </c>
      <c r="AZ378" s="80">
        <f t="shared" si="115"/>
        <v>2587</v>
      </c>
    </row>
    <row r="379" spans="1:52">
      <c r="A379" s="94" t="s">
        <v>596</v>
      </c>
      <c r="B379" s="94" t="s">
        <v>635</v>
      </c>
      <c r="C379" s="232">
        <v>199740</v>
      </c>
      <c r="D379" s="95">
        <v>9</v>
      </c>
      <c r="E379" s="162" t="s">
        <v>442</v>
      </c>
      <c r="F379" s="163" t="s">
        <v>442</v>
      </c>
      <c r="G379" s="79"/>
      <c r="H379" s="322"/>
      <c r="I379" s="79">
        <v>31729.8</v>
      </c>
      <c r="J379" s="351">
        <v>33600</v>
      </c>
      <c r="K379" s="79">
        <v>11306.7</v>
      </c>
      <c r="L379" s="351">
        <v>12390</v>
      </c>
      <c r="M379" s="79">
        <v>36682.800000000003</v>
      </c>
      <c r="N379" s="351">
        <v>38340</v>
      </c>
      <c r="O379" s="323">
        <f t="shared" si="106"/>
        <v>79719.3</v>
      </c>
      <c r="P379" s="638">
        <f t="shared" si="116"/>
        <v>79719.3</v>
      </c>
      <c r="Q379" s="351">
        <v>1945.4999999999998</v>
      </c>
      <c r="R379" s="90">
        <f t="shared" si="120"/>
        <v>2657.31</v>
      </c>
      <c r="S379" s="324">
        <f t="shared" si="107"/>
        <v>84330</v>
      </c>
      <c r="T379" s="638">
        <f t="shared" si="117"/>
        <v>84330</v>
      </c>
      <c r="U379" s="351">
        <v>2184.9</v>
      </c>
      <c r="V379" s="80">
        <f t="shared" si="121"/>
        <v>2811</v>
      </c>
      <c r="W379" s="79"/>
      <c r="X379" s="322"/>
      <c r="Y379" s="79"/>
      <c r="Z379" s="322"/>
      <c r="AA379" s="79"/>
      <c r="AB379" s="322"/>
      <c r="AC379" s="79"/>
      <c r="AD379" s="322"/>
      <c r="AE379" s="323">
        <f t="shared" si="108"/>
        <v>0</v>
      </c>
      <c r="AF379" s="638">
        <f t="shared" si="118"/>
        <v>0</v>
      </c>
      <c r="AG379" s="322"/>
      <c r="AH379" s="90">
        <f t="shared" si="109"/>
        <v>0</v>
      </c>
      <c r="AI379" s="80">
        <f t="shared" si="110"/>
        <v>0</v>
      </c>
      <c r="AJ379" s="638">
        <f t="shared" si="119"/>
        <v>0</v>
      </c>
      <c r="AK379" s="322"/>
      <c r="AL379" s="80">
        <f t="shared" si="111"/>
        <v>0</v>
      </c>
      <c r="AM379" s="79"/>
      <c r="AN379" s="322"/>
      <c r="AO379" s="79"/>
      <c r="AP379" s="322"/>
      <c r="AQ379" s="79"/>
      <c r="AR379" s="322"/>
      <c r="AS379" s="79"/>
      <c r="AT379" s="322"/>
      <c r="AU379" s="325">
        <f t="shared" si="112"/>
        <v>0</v>
      </c>
      <c r="AV379" s="90">
        <f t="shared" si="122"/>
        <v>0</v>
      </c>
      <c r="AW379" s="324">
        <f t="shared" si="113"/>
        <v>0</v>
      </c>
      <c r="AX379" s="80">
        <f t="shared" si="123"/>
        <v>0</v>
      </c>
      <c r="AY379" s="326">
        <f t="shared" si="114"/>
        <v>2657.31</v>
      </c>
      <c r="AZ379" s="80">
        <f t="shared" si="115"/>
        <v>2811</v>
      </c>
    </row>
    <row r="380" spans="1:52">
      <c r="A380" s="94" t="s">
        <v>596</v>
      </c>
      <c r="B380" s="94" t="s">
        <v>636</v>
      </c>
      <c r="C380" s="232">
        <v>199768</v>
      </c>
      <c r="D380" s="95">
        <v>9</v>
      </c>
      <c r="E380" s="162" t="s">
        <v>442</v>
      </c>
      <c r="F380" s="163" t="s">
        <v>442</v>
      </c>
      <c r="G380" s="79"/>
      <c r="H380" s="322"/>
      <c r="I380" s="79">
        <v>39643.199999999997</v>
      </c>
      <c r="J380" s="351">
        <v>45870</v>
      </c>
      <c r="K380" s="79">
        <v>13994.1</v>
      </c>
      <c r="L380" s="351">
        <v>15660</v>
      </c>
      <c r="M380" s="79">
        <v>48246.9</v>
      </c>
      <c r="N380" s="351">
        <v>50220</v>
      </c>
      <c r="O380" s="323">
        <f t="shared" si="106"/>
        <v>101884.2</v>
      </c>
      <c r="P380" s="638">
        <f t="shared" si="116"/>
        <v>101884.2</v>
      </c>
      <c r="Q380" s="351">
        <v>4574.3999999999996</v>
      </c>
      <c r="R380" s="90">
        <f t="shared" si="120"/>
        <v>3396.14</v>
      </c>
      <c r="S380" s="324">
        <f t="shared" si="107"/>
        <v>111750</v>
      </c>
      <c r="T380" s="638">
        <f t="shared" si="117"/>
        <v>111750</v>
      </c>
      <c r="U380" s="351">
        <v>5393.4</v>
      </c>
      <c r="V380" s="80">
        <f t="shared" si="121"/>
        <v>3725</v>
      </c>
      <c r="W380" s="79"/>
      <c r="X380" s="322"/>
      <c r="Y380" s="79"/>
      <c r="Z380" s="322"/>
      <c r="AA380" s="79"/>
      <c r="AB380" s="322"/>
      <c r="AC380" s="79"/>
      <c r="AD380" s="322"/>
      <c r="AE380" s="323">
        <f t="shared" si="108"/>
        <v>0</v>
      </c>
      <c r="AF380" s="638">
        <f t="shared" si="118"/>
        <v>0</v>
      </c>
      <c r="AG380" s="322"/>
      <c r="AH380" s="90">
        <f t="shared" si="109"/>
        <v>0</v>
      </c>
      <c r="AI380" s="80">
        <f t="shared" si="110"/>
        <v>0</v>
      </c>
      <c r="AJ380" s="638">
        <f t="shared" si="119"/>
        <v>0</v>
      </c>
      <c r="AK380" s="322"/>
      <c r="AL380" s="80">
        <f t="shared" si="111"/>
        <v>0</v>
      </c>
      <c r="AM380" s="79"/>
      <c r="AN380" s="322"/>
      <c r="AO380" s="79"/>
      <c r="AP380" s="322"/>
      <c r="AQ380" s="79"/>
      <c r="AR380" s="322"/>
      <c r="AS380" s="79"/>
      <c r="AT380" s="322"/>
      <c r="AU380" s="325">
        <f t="shared" si="112"/>
        <v>0</v>
      </c>
      <c r="AV380" s="90">
        <f t="shared" si="122"/>
        <v>0</v>
      </c>
      <c r="AW380" s="324">
        <f t="shared" si="113"/>
        <v>0</v>
      </c>
      <c r="AX380" s="80">
        <f t="shared" si="123"/>
        <v>0</v>
      </c>
      <c r="AY380" s="326">
        <f t="shared" si="114"/>
        <v>3396.14</v>
      </c>
      <c r="AZ380" s="80">
        <f t="shared" si="115"/>
        <v>3725</v>
      </c>
    </row>
    <row r="381" spans="1:52">
      <c r="A381" s="94" t="s">
        <v>596</v>
      </c>
      <c r="B381" s="94" t="s">
        <v>637</v>
      </c>
      <c r="C381" s="232">
        <v>199838</v>
      </c>
      <c r="D381" s="95">
        <v>9</v>
      </c>
      <c r="E381" s="162" t="s">
        <v>442</v>
      </c>
      <c r="F381" s="163" t="s">
        <v>442</v>
      </c>
      <c r="G381" s="79"/>
      <c r="H381" s="322"/>
      <c r="I381" s="79">
        <v>58582.8</v>
      </c>
      <c r="J381" s="351">
        <v>58950</v>
      </c>
      <c r="K381" s="79">
        <v>19345.5</v>
      </c>
      <c r="L381" s="351">
        <v>18210</v>
      </c>
      <c r="M381" s="79">
        <v>60859.5</v>
      </c>
      <c r="N381" s="351">
        <v>65460</v>
      </c>
      <c r="O381" s="323">
        <f t="shared" si="106"/>
        <v>138787.79999999999</v>
      </c>
      <c r="P381" s="638">
        <f t="shared" si="116"/>
        <v>138787.79999999999</v>
      </c>
      <c r="Q381" s="351">
        <v>7139.7000000000007</v>
      </c>
      <c r="R381" s="90">
        <f t="shared" si="120"/>
        <v>4626.2599999999993</v>
      </c>
      <c r="S381" s="324">
        <f t="shared" si="107"/>
        <v>142620</v>
      </c>
      <c r="T381" s="638">
        <f t="shared" si="117"/>
        <v>142620</v>
      </c>
      <c r="U381" s="351">
        <v>9395.7000000000007</v>
      </c>
      <c r="V381" s="80">
        <f t="shared" si="121"/>
        <v>4754</v>
      </c>
      <c r="W381" s="79"/>
      <c r="X381" s="322"/>
      <c r="Y381" s="79"/>
      <c r="Z381" s="322"/>
      <c r="AA381" s="79"/>
      <c r="AB381" s="322"/>
      <c r="AC381" s="79"/>
      <c r="AD381" s="322"/>
      <c r="AE381" s="323">
        <f t="shared" si="108"/>
        <v>0</v>
      </c>
      <c r="AF381" s="638">
        <f t="shared" si="118"/>
        <v>0</v>
      </c>
      <c r="AG381" s="322"/>
      <c r="AH381" s="90">
        <f t="shared" si="109"/>
        <v>0</v>
      </c>
      <c r="AI381" s="80">
        <f t="shared" si="110"/>
        <v>0</v>
      </c>
      <c r="AJ381" s="638">
        <f t="shared" si="119"/>
        <v>0</v>
      </c>
      <c r="AK381" s="322"/>
      <c r="AL381" s="80">
        <f t="shared" si="111"/>
        <v>0</v>
      </c>
      <c r="AM381" s="79"/>
      <c r="AN381" s="322"/>
      <c r="AO381" s="79"/>
      <c r="AP381" s="322"/>
      <c r="AQ381" s="79"/>
      <c r="AR381" s="322"/>
      <c r="AS381" s="79"/>
      <c r="AT381" s="322"/>
      <c r="AU381" s="325">
        <f t="shared" si="112"/>
        <v>0</v>
      </c>
      <c r="AV381" s="90">
        <f t="shared" si="122"/>
        <v>0</v>
      </c>
      <c r="AW381" s="324">
        <f t="shared" si="113"/>
        <v>0</v>
      </c>
      <c r="AX381" s="80">
        <f t="shared" si="123"/>
        <v>0</v>
      </c>
      <c r="AY381" s="326">
        <f t="shared" si="114"/>
        <v>4626.2599999999993</v>
      </c>
      <c r="AZ381" s="80">
        <f t="shared" si="115"/>
        <v>4754</v>
      </c>
    </row>
    <row r="382" spans="1:52">
      <c r="A382" s="94" t="s">
        <v>596</v>
      </c>
      <c r="B382" s="94" t="s">
        <v>638</v>
      </c>
      <c r="C382" s="232">
        <v>199892</v>
      </c>
      <c r="D382" s="95">
        <v>9</v>
      </c>
      <c r="E382" s="162" t="s">
        <v>442</v>
      </c>
      <c r="F382" s="163" t="s">
        <v>442</v>
      </c>
      <c r="G382" s="79"/>
      <c r="H382" s="322"/>
      <c r="I382" s="79">
        <v>47070</v>
      </c>
      <c r="J382" s="351">
        <v>49020</v>
      </c>
      <c r="K382" s="79">
        <v>15581.4</v>
      </c>
      <c r="L382" s="351">
        <v>17190</v>
      </c>
      <c r="M382" s="79">
        <v>50458.5</v>
      </c>
      <c r="N382" s="351">
        <v>52440</v>
      </c>
      <c r="O382" s="323">
        <f t="shared" si="106"/>
        <v>113109.9</v>
      </c>
      <c r="P382" s="638">
        <f t="shared" si="116"/>
        <v>113109.9</v>
      </c>
      <c r="Q382" s="351">
        <v>2666.3999999999996</v>
      </c>
      <c r="R382" s="90">
        <f t="shared" si="120"/>
        <v>3770.33</v>
      </c>
      <c r="S382" s="324">
        <f t="shared" si="107"/>
        <v>118650</v>
      </c>
      <c r="T382" s="638">
        <f t="shared" si="117"/>
        <v>118650</v>
      </c>
      <c r="U382" s="351">
        <v>3508.2</v>
      </c>
      <c r="V382" s="80">
        <f t="shared" si="121"/>
        <v>3955</v>
      </c>
      <c r="W382" s="79"/>
      <c r="X382" s="322"/>
      <c r="Y382" s="79"/>
      <c r="Z382" s="322"/>
      <c r="AA382" s="79"/>
      <c r="AB382" s="322"/>
      <c r="AC382" s="79"/>
      <c r="AD382" s="322"/>
      <c r="AE382" s="323">
        <f t="shared" si="108"/>
        <v>0</v>
      </c>
      <c r="AF382" s="638">
        <f t="shared" si="118"/>
        <v>0</v>
      </c>
      <c r="AG382" s="322"/>
      <c r="AH382" s="90">
        <f t="shared" si="109"/>
        <v>0</v>
      </c>
      <c r="AI382" s="80">
        <f t="shared" si="110"/>
        <v>0</v>
      </c>
      <c r="AJ382" s="638">
        <f t="shared" si="119"/>
        <v>0</v>
      </c>
      <c r="AK382" s="322"/>
      <c r="AL382" s="80">
        <f t="shared" si="111"/>
        <v>0</v>
      </c>
      <c r="AM382" s="79"/>
      <c r="AN382" s="322"/>
      <c r="AO382" s="79"/>
      <c r="AP382" s="322"/>
      <c r="AQ382" s="79"/>
      <c r="AR382" s="322"/>
      <c r="AS382" s="79"/>
      <c r="AT382" s="322"/>
      <c r="AU382" s="325">
        <f t="shared" si="112"/>
        <v>0</v>
      </c>
      <c r="AV382" s="90">
        <f t="shared" si="122"/>
        <v>0</v>
      </c>
      <c r="AW382" s="324">
        <f t="shared" si="113"/>
        <v>0</v>
      </c>
      <c r="AX382" s="80">
        <f t="shared" si="123"/>
        <v>0</v>
      </c>
      <c r="AY382" s="326">
        <f t="shared" si="114"/>
        <v>3770.33</v>
      </c>
      <c r="AZ382" s="80">
        <f t="shared" si="115"/>
        <v>3955</v>
      </c>
    </row>
    <row r="383" spans="1:52">
      <c r="A383" s="94" t="s">
        <v>596</v>
      </c>
      <c r="B383" s="94" t="s">
        <v>639</v>
      </c>
      <c r="C383" s="232">
        <v>199908</v>
      </c>
      <c r="D383" s="104">
        <v>9</v>
      </c>
      <c r="E383" s="162" t="s">
        <v>442</v>
      </c>
      <c r="F383" s="163" t="s">
        <v>442</v>
      </c>
      <c r="G383" s="79"/>
      <c r="H383" s="322"/>
      <c r="I383" s="79">
        <v>41809.5</v>
      </c>
      <c r="J383" s="351">
        <v>44250</v>
      </c>
      <c r="K383" s="79">
        <v>15765.6</v>
      </c>
      <c r="L383" s="351">
        <v>15420</v>
      </c>
      <c r="M383" s="79">
        <v>43370.7</v>
      </c>
      <c r="N383" s="351">
        <v>45660</v>
      </c>
      <c r="O383" s="323">
        <f t="shared" si="106"/>
        <v>100945.79999999999</v>
      </c>
      <c r="P383" s="638">
        <f t="shared" si="116"/>
        <v>100945.79999999999</v>
      </c>
      <c r="Q383" s="351">
        <v>2145</v>
      </c>
      <c r="R383" s="90">
        <f t="shared" si="120"/>
        <v>3364.8599999999997</v>
      </c>
      <c r="S383" s="324">
        <f t="shared" si="107"/>
        <v>105330</v>
      </c>
      <c r="T383" s="638">
        <f t="shared" si="117"/>
        <v>105330</v>
      </c>
      <c r="U383" s="351">
        <v>3447.2999999999997</v>
      </c>
      <c r="V383" s="80">
        <f t="shared" si="121"/>
        <v>3511</v>
      </c>
      <c r="W383" s="79"/>
      <c r="X383" s="322"/>
      <c r="Y383" s="79"/>
      <c r="Z383" s="322"/>
      <c r="AA383" s="79"/>
      <c r="AB383" s="322"/>
      <c r="AC383" s="79"/>
      <c r="AD383" s="322"/>
      <c r="AE383" s="323">
        <f t="shared" si="108"/>
        <v>0</v>
      </c>
      <c r="AF383" s="638">
        <f t="shared" si="118"/>
        <v>0</v>
      </c>
      <c r="AG383" s="322"/>
      <c r="AH383" s="90">
        <f t="shared" si="109"/>
        <v>0</v>
      </c>
      <c r="AI383" s="80">
        <f t="shared" si="110"/>
        <v>0</v>
      </c>
      <c r="AJ383" s="638">
        <f t="shared" si="119"/>
        <v>0</v>
      </c>
      <c r="AK383" s="322"/>
      <c r="AL383" s="80">
        <f t="shared" si="111"/>
        <v>0</v>
      </c>
      <c r="AM383" s="79"/>
      <c r="AN383" s="322"/>
      <c r="AO383" s="79"/>
      <c r="AP383" s="322"/>
      <c r="AQ383" s="79"/>
      <c r="AR383" s="322"/>
      <c r="AS383" s="79"/>
      <c r="AT383" s="322"/>
      <c r="AU383" s="325">
        <f t="shared" si="112"/>
        <v>0</v>
      </c>
      <c r="AV383" s="90">
        <f t="shared" si="122"/>
        <v>0</v>
      </c>
      <c r="AW383" s="324">
        <f t="shared" si="113"/>
        <v>0</v>
      </c>
      <c r="AX383" s="80">
        <f t="shared" si="123"/>
        <v>0</v>
      </c>
      <c r="AY383" s="326">
        <f t="shared" si="114"/>
        <v>3364.8599999999997</v>
      </c>
      <c r="AZ383" s="80">
        <f t="shared" si="115"/>
        <v>3511</v>
      </c>
    </row>
    <row r="384" spans="1:52">
      <c r="A384" s="94" t="s">
        <v>596</v>
      </c>
      <c r="B384" s="94" t="s">
        <v>640</v>
      </c>
      <c r="C384" s="232">
        <v>199926</v>
      </c>
      <c r="D384" s="95">
        <v>9</v>
      </c>
      <c r="E384" s="162" t="s">
        <v>442</v>
      </c>
      <c r="F384" s="163" t="s">
        <v>442</v>
      </c>
      <c r="G384" s="79"/>
      <c r="H384" s="322"/>
      <c r="I384" s="79">
        <v>38071.5</v>
      </c>
      <c r="J384" s="351">
        <v>37530</v>
      </c>
      <c r="K384" s="79">
        <v>10803.6</v>
      </c>
      <c r="L384" s="351">
        <v>10590</v>
      </c>
      <c r="M384" s="79">
        <v>40681.199999999997</v>
      </c>
      <c r="N384" s="351">
        <v>42690</v>
      </c>
      <c r="O384" s="323">
        <f t="shared" si="106"/>
        <v>89556.299999999988</v>
      </c>
      <c r="P384" s="638">
        <f t="shared" si="116"/>
        <v>89556.299999999988</v>
      </c>
      <c r="Q384" s="351">
        <v>4501.8</v>
      </c>
      <c r="R384" s="90">
        <f t="shared" si="120"/>
        <v>2985.2099999999996</v>
      </c>
      <c r="S384" s="324">
        <f t="shared" si="107"/>
        <v>90810</v>
      </c>
      <c r="T384" s="638">
        <f t="shared" si="117"/>
        <v>90810</v>
      </c>
      <c r="U384" s="351">
        <v>5128.8</v>
      </c>
      <c r="V384" s="80">
        <f t="shared" si="121"/>
        <v>3027</v>
      </c>
      <c r="W384" s="79"/>
      <c r="X384" s="322"/>
      <c r="Y384" s="79"/>
      <c r="Z384" s="322"/>
      <c r="AA384" s="79"/>
      <c r="AB384" s="322"/>
      <c r="AC384" s="79"/>
      <c r="AD384" s="322"/>
      <c r="AE384" s="323">
        <f t="shared" si="108"/>
        <v>0</v>
      </c>
      <c r="AF384" s="638">
        <f t="shared" si="118"/>
        <v>0</v>
      </c>
      <c r="AG384" s="322"/>
      <c r="AH384" s="90">
        <f t="shared" si="109"/>
        <v>0</v>
      </c>
      <c r="AI384" s="80">
        <f t="shared" si="110"/>
        <v>0</v>
      </c>
      <c r="AJ384" s="638">
        <f t="shared" si="119"/>
        <v>0</v>
      </c>
      <c r="AK384" s="322"/>
      <c r="AL384" s="80">
        <f t="shared" si="111"/>
        <v>0</v>
      </c>
      <c r="AM384" s="79"/>
      <c r="AN384" s="322"/>
      <c r="AO384" s="79"/>
      <c r="AP384" s="322"/>
      <c r="AQ384" s="79"/>
      <c r="AR384" s="322"/>
      <c r="AS384" s="79"/>
      <c r="AT384" s="322"/>
      <c r="AU384" s="325">
        <f t="shared" si="112"/>
        <v>0</v>
      </c>
      <c r="AV384" s="90">
        <f t="shared" si="122"/>
        <v>0</v>
      </c>
      <c r="AW384" s="324">
        <f t="shared" si="113"/>
        <v>0</v>
      </c>
      <c r="AX384" s="80">
        <f t="shared" si="123"/>
        <v>0</v>
      </c>
      <c r="AY384" s="326">
        <f t="shared" si="114"/>
        <v>2985.2099999999996</v>
      </c>
      <c r="AZ384" s="80">
        <f t="shared" si="115"/>
        <v>3027</v>
      </c>
    </row>
    <row r="385" spans="1:52">
      <c r="A385" s="94" t="s">
        <v>596</v>
      </c>
      <c r="B385" s="94" t="s">
        <v>641</v>
      </c>
      <c r="C385" s="232">
        <v>199953</v>
      </c>
      <c r="D385" s="95">
        <v>9</v>
      </c>
      <c r="E385" s="162" t="s">
        <v>442</v>
      </c>
      <c r="F385" s="163" t="s">
        <v>442</v>
      </c>
      <c r="G385" s="79"/>
      <c r="H385" s="322"/>
      <c r="I385" s="79">
        <v>29121.3</v>
      </c>
      <c r="J385" s="351">
        <v>29130</v>
      </c>
      <c r="K385" s="79">
        <v>15918.9</v>
      </c>
      <c r="L385" s="351">
        <v>13830</v>
      </c>
      <c r="M385" s="79">
        <v>27695.4</v>
      </c>
      <c r="N385" s="351">
        <v>29250</v>
      </c>
      <c r="O385" s="323">
        <f t="shared" si="106"/>
        <v>72735.600000000006</v>
      </c>
      <c r="P385" s="638">
        <f t="shared" si="116"/>
        <v>72735.600000000006</v>
      </c>
      <c r="Q385" s="351">
        <v>533.40000000000009</v>
      </c>
      <c r="R385" s="90">
        <f t="shared" si="120"/>
        <v>2424.52</v>
      </c>
      <c r="S385" s="324">
        <f t="shared" si="107"/>
        <v>72210</v>
      </c>
      <c r="T385" s="638">
        <f t="shared" si="117"/>
        <v>72210</v>
      </c>
      <c r="U385" s="351">
        <v>432.3</v>
      </c>
      <c r="V385" s="80">
        <f t="shared" si="121"/>
        <v>2407</v>
      </c>
      <c r="W385" s="79"/>
      <c r="X385" s="322"/>
      <c r="Y385" s="79"/>
      <c r="Z385" s="322"/>
      <c r="AA385" s="79"/>
      <c r="AB385" s="322"/>
      <c r="AC385" s="79"/>
      <c r="AD385" s="322"/>
      <c r="AE385" s="323">
        <f t="shared" si="108"/>
        <v>0</v>
      </c>
      <c r="AF385" s="638">
        <f t="shared" si="118"/>
        <v>0</v>
      </c>
      <c r="AG385" s="322"/>
      <c r="AH385" s="90">
        <f t="shared" si="109"/>
        <v>0</v>
      </c>
      <c r="AI385" s="80">
        <f t="shared" si="110"/>
        <v>0</v>
      </c>
      <c r="AJ385" s="638">
        <f t="shared" si="119"/>
        <v>0</v>
      </c>
      <c r="AK385" s="322"/>
      <c r="AL385" s="80">
        <f t="shared" si="111"/>
        <v>0</v>
      </c>
      <c r="AM385" s="79"/>
      <c r="AN385" s="322"/>
      <c r="AO385" s="79"/>
      <c r="AP385" s="322"/>
      <c r="AQ385" s="79"/>
      <c r="AR385" s="322"/>
      <c r="AS385" s="79"/>
      <c r="AT385" s="322"/>
      <c r="AU385" s="325">
        <f t="shared" si="112"/>
        <v>0</v>
      </c>
      <c r="AV385" s="90">
        <f t="shared" si="122"/>
        <v>0</v>
      </c>
      <c r="AW385" s="324">
        <f t="shared" si="113"/>
        <v>0</v>
      </c>
      <c r="AX385" s="80">
        <f t="shared" si="123"/>
        <v>0</v>
      </c>
      <c r="AY385" s="326">
        <f t="shared" si="114"/>
        <v>2424.52</v>
      </c>
      <c r="AZ385" s="80">
        <f t="shared" si="115"/>
        <v>2407</v>
      </c>
    </row>
    <row r="386" spans="1:52">
      <c r="A386" s="94" t="s">
        <v>596</v>
      </c>
      <c r="B386" s="392" t="s">
        <v>608</v>
      </c>
      <c r="C386" s="393">
        <v>197966</v>
      </c>
      <c r="D386" s="411">
        <v>10</v>
      </c>
      <c r="E386" s="162" t="s">
        <v>442</v>
      </c>
      <c r="F386" s="163" t="s">
        <v>442</v>
      </c>
      <c r="G386" s="79"/>
      <c r="H386" s="322"/>
      <c r="I386" s="79">
        <v>24696.6</v>
      </c>
      <c r="J386" s="351">
        <v>24690</v>
      </c>
      <c r="K386" s="79">
        <v>6565.2</v>
      </c>
      <c r="L386" s="351">
        <v>6810</v>
      </c>
      <c r="M386" s="79">
        <v>25010.400000000001</v>
      </c>
      <c r="N386" s="351">
        <v>26880</v>
      </c>
      <c r="O386" s="323">
        <f t="shared" si="106"/>
        <v>56272.2</v>
      </c>
      <c r="P386" s="638">
        <f t="shared" si="116"/>
        <v>56272.2</v>
      </c>
      <c r="Q386" s="351">
        <v>2378.4</v>
      </c>
      <c r="R386" s="90">
        <f t="shared" si="120"/>
        <v>1875.74</v>
      </c>
      <c r="S386" s="324">
        <f t="shared" si="107"/>
        <v>58380</v>
      </c>
      <c r="T386" s="638">
        <f t="shared" si="117"/>
        <v>58380</v>
      </c>
      <c r="U386" s="351">
        <v>2008.1999999999998</v>
      </c>
      <c r="V386" s="80">
        <f t="shared" si="121"/>
        <v>1946</v>
      </c>
      <c r="W386" s="79"/>
      <c r="X386" s="322"/>
      <c r="Y386" s="79"/>
      <c r="Z386" s="322"/>
      <c r="AA386" s="79"/>
      <c r="AB386" s="322"/>
      <c r="AC386" s="79"/>
      <c r="AD386" s="322"/>
      <c r="AE386" s="323">
        <f t="shared" si="108"/>
        <v>0</v>
      </c>
      <c r="AF386" s="638">
        <f t="shared" si="118"/>
        <v>0</v>
      </c>
      <c r="AG386" s="322"/>
      <c r="AH386" s="90">
        <f t="shared" si="109"/>
        <v>0</v>
      </c>
      <c r="AI386" s="80">
        <f t="shared" si="110"/>
        <v>0</v>
      </c>
      <c r="AJ386" s="638">
        <f t="shared" si="119"/>
        <v>0</v>
      </c>
      <c r="AK386" s="322"/>
      <c r="AL386" s="80">
        <f t="shared" si="111"/>
        <v>0</v>
      </c>
      <c r="AM386" s="79"/>
      <c r="AN386" s="322"/>
      <c r="AO386" s="79"/>
      <c r="AP386" s="322"/>
      <c r="AQ386" s="79"/>
      <c r="AR386" s="322"/>
      <c r="AS386" s="79"/>
      <c r="AT386" s="322"/>
      <c r="AU386" s="325">
        <f t="shared" si="112"/>
        <v>0</v>
      </c>
      <c r="AV386" s="90">
        <f t="shared" si="122"/>
        <v>0</v>
      </c>
      <c r="AW386" s="324">
        <f t="shared" si="113"/>
        <v>0</v>
      </c>
      <c r="AX386" s="80">
        <f t="shared" si="123"/>
        <v>0</v>
      </c>
      <c r="AY386" s="326">
        <f t="shared" si="114"/>
        <v>1875.74</v>
      </c>
      <c r="AZ386" s="80">
        <f t="shared" si="115"/>
        <v>1946</v>
      </c>
    </row>
    <row r="387" spans="1:52">
      <c r="A387" s="94" t="s">
        <v>596</v>
      </c>
      <c r="B387" s="94" t="s">
        <v>642</v>
      </c>
      <c r="C387" s="232">
        <v>198011</v>
      </c>
      <c r="D387" s="95">
        <v>10</v>
      </c>
      <c r="E387" s="162" t="s">
        <v>442</v>
      </c>
      <c r="F387" s="163" t="s">
        <v>442</v>
      </c>
      <c r="G387" s="79"/>
      <c r="H387" s="322"/>
      <c r="I387" s="79">
        <v>19965.599999999999</v>
      </c>
      <c r="J387" s="351">
        <v>20460</v>
      </c>
      <c r="K387" s="79">
        <v>4088.7</v>
      </c>
      <c r="L387" s="351">
        <v>4890</v>
      </c>
      <c r="M387" s="79">
        <v>19961.400000000001</v>
      </c>
      <c r="N387" s="351">
        <v>21480</v>
      </c>
      <c r="O387" s="323">
        <f t="shared" si="106"/>
        <v>44015.7</v>
      </c>
      <c r="P387" s="638">
        <f t="shared" si="116"/>
        <v>44015.7</v>
      </c>
      <c r="Q387" s="351">
        <v>2493.8999999999996</v>
      </c>
      <c r="R387" s="90">
        <f t="shared" si="120"/>
        <v>1467.1899999999998</v>
      </c>
      <c r="S387" s="324">
        <f t="shared" si="107"/>
        <v>46830</v>
      </c>
      <c r="T387" s="638">
        <f t="shared" si="117"/>
        <v>46830</v>
      </c>
      <c r="U387" s="351">
        <v>2605.2000000000003</v>
      </c>
      <c r="V387" s="80">
        <f t="shared" si="121"/>
        <v>1561</v>
      </c>
      <c r="W387" s="79"/>
      <c r="X387" s="322"/>
      <c r="Y387" s="79"/>
      <c r="Z387" s="322"/>
      <c r="AA387" s="79"/>
      <c r="AB387" s="322"/>
      <c r="AC387" s="79"/>
      <c r="AD387" s="322"/>
      <c r="AE387" s="323">
        <f t="shared" si="108"/>
        <v>0</v>
      </c>
      <c r="AF387" s="638">
        <f t="shared" si="118"/>
        <v>0</v>
      </c>
      <c r="AG387" s="322"/>
      <c r="AH387" s="90">
        <f t="shared" si="109"/>
        <v>0</v>
      </c>
      <c r="AI387" s="80">
        <f t="shared" si="110"/>
        <v>0</v>
      </c>
      <c r="AJ387" s="638">
        <f t="shared" si="119"/>
        <v>0</v>
      </c>
      <c r="AK387" s="322"/>
      <c r="AL387" s="80">
        <f t="shared" si="111"/>
        <v>0</v>
      </c>
      <c r="AM387" s="79"/>
      <c r="AN387" s="322"/>
      <c r="AO387" s="79"/>
      <c r="AP387" s="322"/>
      <c r="AQ387" s="79"/>
      <c r="AR387" s="322"/>
      <c r="AS387" s="79"/>
      <c r="AT387" s="322"/>
      <c r="AU387" s="325">
        <f t="shared" si="112"/>
        <v>0</v>
      </c>
      <c r="AV387" s="90">
        <f t="shared" si="122"/>
        <v>0</v>
      </c>
      <c r="AW387" s="324">
        <f t="shared" si="113"/>
        <v>0</v>
      </c>
      <c r="AX387" s="80">
        <f t="shared" si="123"/>
        <v>0</v>
      </c>
      <c r="AY387" s="326">
        <f t="shared" si="114"/>
        <v>1467.1899999999998</v>
      </c>
      <c r="AZ387" s="80">
        <f t="shared" si="115"/>
        <v>1561</v>
      </c>
    </row>
    <row r="388" spans="1:52">
      <c r="A388" s="94" t="s">
        <v>596</v>
      </c>
      <c r="B388" s="94" t="s">
        <v>643</v>
      </c>
      <c r="C388" s="232">
        <v>198084</v>
      </c>
      <c r="D388" s="95">
        <v>10</v>
      </c>
      <c r="E388" s="162" t="s">
        <v>442</v>
      </c>
      <c r="F388" s="163" t="s">
        <v>442</v>
      </c>
      <c r="G388" s="79"/>
      <c r="H388" s="322"/>
      <c r="I388" s="79">
        <v>20350.5</v>
      </c>
      <c r="J388" s="351">
        <v>21120</v>
      </c>
      <c r="K388" s="79">
        <v>4596</v>
      </c>
      <c r="L388" s="351">
        <v>4920</v>
      </c>
      <c r="M388" s="79">
        <v>22851</v>
      </c>
      <c r="N388" s="351">
        <v>23910</v>
      </c>
      <c r="O388" s="323">
        <f t="shared" ref="O388:O451" si="124">SUM(G388,I388,K388,M388)</f>
        <v>47797.5</v>
      </c>
      <c r="P388" s="638">
        <f t="shared" si="116"/>
        <v>47797.5</v>
      </c>
      <c r="Q388" s="351">
        <v>1608.6</v>
      </c>
      <c r="R388" s="90">
        <f t="shared" si="120"/>
        <v>1593.25</v>
      </c>
      <c r="S388" s="324">
        <f t="shared" ref="S388:S451" si="125">SUM(H388,J388,L388,N388)</f>
        <v>49950</v>
      </c>
      <c r="T388" s="638">
        <f t="shared" si="117"/>
        <v>49950</v>
      </c>
      <c r="U388" s="351">
        <v>2625.6</v>
      </c>
      <c r="V388" s="80">
        <f t="shared" si="121"/>
        <v>1665</v>
      </c>
      <c r="W388" s="79"/>
      <c r="X388" s="322"/>
      <c r="Y388" s="79"/>
      <c r="Z388" s="322"/>
      <c r="AA388" s="79"/>
      <c r="AB388" s="322"/>
      <c r="AC388" s="79"/>
      <c r="AD388" s="322"/>
      <c r="AE388" s="323">
        <f t="shared" ref="AE388:AE451" si="126">SUM(W388,Y388,AA388,AC388)</f>
        <v>0</v>
      </c>
      <c r="AF388" s="638">
        <f t="shared" si="118"/>
        <v>0</v>
      </c>
      <c r="AG388" s="322"/>
      <c r="AH388" s="90">
        <f t="shared" ref="AH388:AH451" si="127">+AE388/900</f>
        <v>0</v>
      </c>
      <c r="AI388" s="80">
        <f t="shared" ref="AI388:AI451" si="128">SUM(X388,Z388,AB388,AD388)</f>
        <v>0</v>
      </c>
      <c r="AJ388" s="638">
        <f t="shared" si="119"/>
        <v>0</v>
      </c>
      <c r="AK388" s="322"/>
      <c r="AL388" s="80">
        <f t="shared" ref="AL388:AL451" si="129">+AI388/900</f>
        <v>0</v>
      </c>
      <c r="AM388" s="79"/>
      <c r="AN388" s="322"/>
      <c r="AO388" s="79"/>
      <c r="AP388" s="322"/>
      <c r="AQ388" s="79"/>
      <c r="AR388" s="322"/>
      <c r="AS388" s="79"/>
      <c r="AT388" s="322"/>
      <c r="AU388" s="325">
        <f t="shared" ref="AU388:AU451" si="130">SUM(AM388,AO388,AQ388,AS388)</f>
        <v>0</v>
      </c>
      <c r="AV388" s="90">
        <f t="shared" si="122"/>
        <v>0</v>
      </c>
      <c r="AW388" s="324">
        <f t="shared" ref="AW388:AW451" si="131">SUM(AN388,AP388,AR388,AT388)</f>
        <v>0</v>
      </c>
      <c r="AX388" s="80">
        <f t="shared" si="123"/>
        <v>0</v>
      </c>
      <c r="AY388" s="326">
        <f t="shared" ref="AY388:AY451" si="132">SUM(R388,AH388,AV388)</f>
        <v>1593.25</v>
      </c>
      <c r="AZ388" s="80">
        <f t="shared" ref="AZ388:AZ451" si="133">SUM(V388,AL388,AX388)</f>
        <v>1665</v>
      </c>
    </row>
    <row r="389" spans="1:52">
      <c r="A389" s="94" t="s">
        <v>596</v>
      </c>
      <c r="B389" s="94" t="s">
        <v>644</v>
      </c>
      <c r="C389" s="232">
        <v>198206</v>
      </c>
      <c r="D389" s="95">
        <v>10</v>
      </c>
      <c r="E389" s="162" t="s">
        <v>442</v>
      </c>
      <c r="F389" s="163" t="s">
        <v>442</v>
      </c>
      <c r="G389" s="79"/>
      <c r="H389" s="322"/>
      <c r="I389" s="79">
        <v>24235.8</v>
      </c>
      <c r="J389" s="351">
        <v>24900</v>
      </c>
      <c r="K389" s="79">
        <v>8898.6</v>
      </c>
      <c r="L389" s="351">
        <v>9180</v>
      </c>
      <c r="M389" s="79">
        <v>24967.200000000001</v>
      </c>
      <c r="N389" s="351">
        <v>25740</v>
      </c>
      <c r="O389" s="323">
        <f t="shared" si="124"/>
        <v>58101.600000000006</v>
      </c>
      <c r="P389" s="638">
        <f t="shared" ref="P389:P452" si="134">IF(Q389="—",0,O389)</f>
        <v>58101.600000000006</v>
      </c>
      <c r="Q389" s="351">
        <v>1278</v>
      </c>
      <c r="R389" s="90">
        <f t="shared" si="120"/>
        <v>1936.7200000000003</v>
      </c>
      <c r="S389" s="324">
        <f t="shared" si="125"/>
        <v>59820</v>
      </c>
      <c r="T389" s="638">
        <f t="shared" ref="T389:T452" si="135">IF(U389="—",0,S389)</f>
        <v>59820</v>
      </c>
      <c r="U389" s="351">
        <v>1137.6000000000001</v>
      </c>
      <c r="V389" s="80">
        <f t="shared" si="121"/>
        <v>1994</v>
      </c>
      <c r="W389" s="79"/>
      <c r="X389" s="322"/>
      <c r="Y389" s="79"/>
      <c r="Z389" s="322"/>
      <c r="AA389" s="79"/>
      <c r="AB389" s="322"/>
      <c r="AC389" s="79"/>
      <c r="AD389" s="322"/>
      <c r="AE389" s="323">
        <f t="shared" si="126"/>
        <v>0</v>
      </c>
      <c r="AF389" s="638">
        <f t="shared" ref="AF389:AF452" si="136">IF(AG389="—",0,AE389)</f>
        <v>0</v>
      </c>
      <c r="AG389" s="322"/>
      <c r="AH389" s="90">
        <f t="shared" si="127"/>
        <v>0</v>
      </c>
      <c r="AI389" s="80">
        <f t="shared" si="128"/>
        <v>0</v>
      </c>
      <c r="AJ389" s="638">
        <f t="shared" ref="AJ389:AJ452" si="137">IF(AK389="—",0,AI389)</f>
        <v>0</v>
      </c>
      <c r="AK389" s="322"/>
      <c r="AL389" s="80">
        <f t="shared" si="129"/>
        <v>0</v>
      </c>
      <c r="AM389" s="79"/>
      <c r="AN389" s="322"/>
      <c r="AO389" s="79"/>
      <c r="AP389" s="322"/>
      <c r="AQ389" s="79"/>
      <c r="AR389" s="322"/>
      <c r="AS389" s="79"/>
      <c r="AT389" s="322"/>
      <c r="AU389" s="325">
        <f t="shared" si="130"/>
        <v>0</v>
      </c>
      <c r="AV389" s="90">
        <f t="shared" si="122"/>
        <v>0</v>
      </c>
      <c r="AW389" s="324">
        <f t="shared" si="131"/>
        <v>0</v>
      </c>
      <c r="AX389" s="80">
        <f t="shared" si="123"/>
        <v>0</v>
      </c>
      <c r="AY389" s="326">
        <f t="shared" si="132"/>
        <v>1936.7200000000003</v>
      </c>
      <c r="AZ389" s="80">
        <f t="shared" si="133"/>
        <v>1994</v>
      </c>
    </row>
    <row r="390" spans="1:52">
      <c r="A390" s="94" t="s">
        <v>596</v>
      </c>
      <c r="B390" s="94" t="s">
        <v>645</v>
      </c>
      <c r="C390" s="232">
        <v>198640</v>
      </c>
      <c r="D390" s="95">
        <v>10</v>
      </c>
      <c r="E390" s="162" t="s">
        <v>442</v>
      </c>
      <c r="F390" s="163" t="s">
        <v>442</v>
      </c>
      <c r="G390" s="79"/>
      <c r="H390" s="322"/>
      <c r="I390" s="79">
        <v>21766.799999999999</v>
      </c>
      <c r="J390" s="351">
        <v>22260</v>
      </c>
      <c r="K390" s="79">
        <v>5042.1000000000004</v>
      </c>
      <c r="L390" s="351">
        <v>4800</v>
      </c>
      <c r="M390" s="79">
        <v>22463.7</v>
      </c>
      <c r="N390" s="351">
        <v>23610</v>
      </c>
      <c r="O390" s="323">
        <f t="shared" si="124"/>
        <v>49272.600000000006</v>
      </c>
      <c r="P390" s="638">
        <f t="shared" si="134"/>
        <v>49272.600000000006</v>
      </c>
      <c r="Q390" s="351">
        <v>960</v>
      </c>
      <c r="R390" s="90">
        <f t="shared" si="120"/>
        <v>1642.4200000000003</v>
      </c>
      <c r="S390" s="324">
        <f t="shared" si="125"/>
        <v>50670</v>
      </c>
      <c r="T390" s="638">
        <f t="shared" si="135"/>
        <v>50670</v>
      </c>
      <c r="U390" s="351">
        <v>1017.3</v>
      </c>
      <c r="V390" s="80">
        <f t="shared" si="121"/>
        <v>1689</v>
      </c>
      <c r="W390" s="79"/>
      <c r="X390" s="322"/>
      <c r="Y390" s="79"/>
      <c r="Z390" s="322"/>
      <c r="AA390" s="79"/>
      <c r="AB390" s="322"/>
      <c r="AC390" s="79"/>
      <c r="AD390" s="322"/>
      <c r="AE390" s="323">
        <f t="shared" si="126"/>
        <v>0</v>
      </c>
      <c r="AF390" s="638">
        <f t="shared" si="136"/>
        <v>0</v>
      </c>
      <c r="AG390" s="322"/>
      <c r="AH390" s="90">
        <f t="shared" si="127"/>
        <v>0</v>
      </c>
      <c r="AI390" s="80">
        <f t="shared" si="128"/>
        <v>0</v>
      </c>
      <c r="AJ390" s="638">
        <f t="shared" si="137"/>
        <v>0</v>
      </c>
      <c r="AK390" s="322"/>
      <c r="AL390" s="80">
        <f t="shared" si="129"/>
        <v>0</v>
      </c>
      <c r="AM390" s="79"/>
      <c r="AN390" s="322"/>
      <c r="AO390" s="79"/>
      <c r="AP390" s="322"/>
      <c r="AQ390" s="79"/>
      <c r="AR390" s="322"/>
      <c r="AS390" s="79"/>
      <c r="AT390" s="322"/>
      <c r="AU390" s="325">
        <f t="shared" si="130"/>
        <v>0</v>
      </c>
      <c r="AV390" s="90">
        <f t="shared" si="122"/>
        <v>0</v>
      </c>
      <c r="AW390" s="324">
        <f t="shared" si="131"/>
        <v>0</v>
      </c>
      <c r="AX390" s="80">
        <f t="shared" si="123"/>
        <v>0</v>
      </c>
      <c r="AY390" s="326">
        <f t="shared" si="132"/>
        <v>1642.4200000000003</v>
      </c>
      <c r="AZ390" s="80">
        <f t="shared" si="133"/>
        <v>1689</v>
      </c>
    </row>
    <row r="391" spans="1:52">
      <c r="A391" s="94" t="s">
        <v>596</v>
      </c>
      <c r="B391" s="94" t="s">
        <v>646</v>
      </c>
      <c r="C391" s="232">
        <v>198729</v>
      </c>
      <c r="D391" s="95">
        <v>10</v>
      </c>
      <c r="E391" s="162" t="s">
        <v>442</v>
      </c>
      <c r="F391" s="163" t="s">
        <v>442</v>
      </c>
      <c r="G391" s="79"/>
      <c r="H391" s="322"/>
      <c r="I391" s="79">
        <v>19309.2</v>
      </c>
      <c r="J391" s="351">
        <v>18030</v>
      </c>
      <c r="K391" s="79">
        <v>4743.3</v>
      </c>
      <c r="L391" s="351">
        <v>5550</v>
      </c>
      <c r="M391" s="79">
        <v>19431.599999999999</v>
      </c>
      <c r="N391" s="351">
        <v>20430</v>
      </c>
      <c r="O391" s="323">
        <f t="shared" si="124"/>
        <v>43484.1</v>
      </c>
      <c r="P391" s="638">
        <f t="shared" si="134"/>
        <v>43484.1</v>
      </c>
      <c r="Q391" s="351">
        <v>1989.8999999999999</v>
      </c>
      <c r="R391" s="90">
        <f t="shared" si="120"/>
        <v>1449.47</v>
      </c>
      <c r="S391" s="324">
        <f t="shared" si="125"/>
        <v>44010</v>
      </c>
      <c r="T391" s="638">
        <f t="shared" si="135"/>
        <v>44010</v>
      </c>
      <c r="U391" s="351">
        <v>2028.8999999999999</v>
      </c>
      <c r="V391" s="80">
        <f t="shared" si="121"/>
        <v>1467</v>
      </c>
      <c r="W391" s="79"/>
      <c r="X391" s="322"/>
      <c r="Y391" s="79"/>
      <c r="Z391" s="322"/>
      <c r="AA391" s="79"/>
      <c r="AB391" s="322"/>
      <c r="AC391" s="79"/>
      <c r="AD391" s="322"/>
      <c r="AE391" s="323">
        <f t="shared" si="126"/>
        <v>0</v>
      </c>
      <c r="AF391" s="638">
        <f t="shared" si="136"/>
        <v>0</v>
      </c>
      <c r="AG391" s="322"/>
      <c r="AH391" s="90">
        <f t="shared" si="127"/>
        <v>0</v>
      </c>
      <c r="AI391" s="80">
        <f t="shared" si="128"/>
        <v>0</v>
      </c>
      <c r="AJ391" s="638">
        <f t="shared" si="137"/>
        <v>0</v>
      </c>
      <c r="AK391" s="322"/>
      <c r="AL391" s="80">
        <f t="shared" si="129"/>
        <v>0</v>
      </c>
      <c r="AM391" s="79"/>
      <c r="AN391" s="322"/>
      <c r="AO391" s="79"/>
      <c r="AP391" s="322"/>
      <c r="AQ391" s="79"/>
      <c r="AR391" s="322"/>
      <c r="AS391" s="79"/>
      <c r="AT391" s="322"/>
      <c r="AU391" s="325">
        <f t="shared" si="130"/>
        <v>0</v>
      </c>
      <c r="AV391" s="90">
        <f t="shared" si="122"/>
        <v>0</v>
      </c>
      <c r="AW391" s="324">
        <f t="shared" si="131"/>
        <v>0</v>
      </c>
      <c r="AX391" s="80">
        <f t="shared" si="123"/>
        <v>0</v>
      </c>
      <c r="AY391" s="326">
        <f t="shared" si="132"/>
        <v>1449.47</v>
      </c>
      <c r="AZ391" s="80">
        <f t="shared" si="133"/>
        <v>1467</v>
      </c>
    </row>
    <row r="392" spans="1:52">
      <c r="A392" s="94" t="s">
        <v>596</v>
      </c>
      <c r="B392" s="94" t="s">
        <v>647</v>
      </c>
      <c r="C392" s="232">
        <v>198905</v>
      </c>
      <c r="D392" s="104">
        <v>10</v>
      </c>
      <c r="E392" s="162" t="s">
        <v>442</v>
      </c>
      <c r="F392" s="163" t="s">
        <v>442</v>
      </c>
      <c r="G392" s="79"/>
      <c r="H392" s="322"/>
      <c r="I392" s="79">
        <v>12845.4</v>
      </c>
      <c r="J392" s="351">
        <v>11100</v>
      </c>
      <c r="K392" s="79">
        <v>3605.4</v>
      </c>
      <c r="L392" s="351">
        <v>3900</v>
      </c>
      <c r="M392" s="79">
        <v>13745.4</v>
      </c>
      <c r="N392" s="351">
        <v>12180</v>
      </c>
      <c r="O392" s="323">
        <f t="shared" si="124"/>
        <v>30196.199999999997</v>
      </c>
      <c r="P392" s="638">
        <f t="shared" si="134"/>
        <v>30196.199999999997</v>
      </c>
      <c r="Q392" s="351">
        <v>2298</v>
      </c>
      <c r="R392" s="90">
        <f t="shared" si="120"/>
        <v>1006.5399999999998</v>
      </c>
      <c r="S392" s="324">
        <f t="shared" si="125"/>
        <v>27180</v>
      </c>
      <c r="T392" s="638">
        <f t="shared" si="135"/>
        <v>27180</v>
      </c>
      <c r="U392" s="351">
        <v>2074.5</v>
      </c>
      <c r="V392" s="80">
        <f t="shared" si="121"/>
        <v>906</v>
      </c>
      <c r="W392" s="79"/>
      <c r="X392" s="322"/>
      <c r="Y392" s="79"/>
      <c r="Z392" s="322"/>
      <c r="AA392" s="79"/>
      <c r="AB392" s="322"/>
      <c r="AC392" s="79"/>
      <c r="AD392" s="322"/>
      <c r="AE392" s="323">
        <f t="shared" si="126"/>
        <v>0</v>
      </c>
      <c r="AF392" s="638">
        <f t="shared" si="136"/>
        <v>0</v>
      </c>
      <c r="AG392" s="322"/>
      <c r="AH392" s="90">
        <f t="shared" si="127"/>
        <v>0</v>
      </c>
      <c r="AI392" s="80">
        <f t="shared" si="128"/>
        <v>0</v>
      </c>
      <c r="AJ392" s="638">
        <f t="shared" si="137"/>
        <v>0</v>
      </c>
      <c r="AK392" s="322"/>
      <c r="AL392" s="80">
        <f t="shared" si="129"/>
        <v>0</v>
      </c>
      <c r="AM392" s="79"/>
      <c r="AN392" s="322"/>
      <c r="AO392" s="79"/>
      <c r="AP392" s="322"/>
      <c r="AQ392" s="79"/>
      <c r="AR392" s="322"/>
      <c r="AS392" s="79"/>
      <c r="AT392" s="322"/>
      <c r="AU392" s="325">
        <f t="shared" si="130"/>
        <v>0</v>
      </c>
      <c r="AV392" s="90">
        <f t="shared" si="122"/>
        <v>0</v>
      </c>
      <c r="AW392" s="324">
        <f t="shared" si="131"/>
        <v>0</v>
      </c>
      <c r="AX392" s="80">
        <f t="shared" si="123"/>
        <v>0</v>
      </c>
      <c r="AY392" s="326">
        <f t="shared" si="132"/>
        <v>1006.5399999999998</v>
      </c>
      <c r="AZ392" s="80">
        <f t="shared" si="133"/>
        <v>906</v>
      </c>
    </row>
    <row r="393" spans="1:52">
      <c r="A393" s="94" t="s">
        <v>596</v>
      </c>
      <c r="B393" s="94" t="s">
        <v>649</v>
      </c>
      <c r="C393" s="232">
        <v>198923</v>
      </c>
      <c r="D393" s="104">
        <v>10</v>
      </c>
      <c r="E393" s="162" t="s">
        <v>442</v>
      </c>
      <c r="F393" s="163" t="s">
        <v>442</v>
      </c>
      <c r="G393" s="79"/>
      <c r="H393" s="322"/>
      <c r="I393" s="79">
        <v>18022.5</v>
      </c>
      <c r="J393" s="351">
        <v>17790</v>
      </c>
      <c r="K393" s="79">
        <v>7836.6</v>
      </c>
      <c r="L393" s="351">
        <v>7470</v>
      </c>
      <c r="M393" s="79">
        <v>16310.1</v>
      </c>
      <c r="N393" s="351">
        <v>20580</v>
      </c>
      <c r="O393" s="323">
        <f t="shared" si="124"/>
        <v>42169.2</v>
      </c>
      <c r="P393" s="638">
        <f t="shared" si="134"/>
        <v>42169.2</v>
      </c>
      <c r="Q393" s="351">
        <v>1836.6</v>
      </c>
      <c r="R393" s="90">
        <f t="shared" si="120"/>
        <v>1405.6399999999999</v>
      </c>
      <c r="S393" s="324">
        <f t="shared" si="125"/>
        <v>45840</v>
      </c>
      <c r="T393" s="638">
        <f t="shared" si="135"/>
        <v>45840</v>
      </c>
      <c r="U393" s="351">
        <v>1922.7</v>
      </c>
      <c r="V393" s="80">
        <f t="shared" si="121"/>
        <v>1528</v>
      </c>
      <c r="W393" s="79"/>
      <c r="X393" s="322"/>
      <c r="Y393" s="79"/>
      <c r="Z393" s="322"/>
      <c r="AA393" s="79"/>
      <c r="AB393" s="322"/>
      <c r="AC393" s="79"/>
      <c r="AD393" s="322"/>
      <c r="AE393" s="323">
        <f t="shared" si="126"/>
        <v>0</v>
      </c>
      <c r="AF393" s="638">
        <f t="shared" si="136"/>
        <v>0</v>
      </c>
      <c r="AG393" s="322"/>
      <c r="AH393" s="90">
        <f t="shared" si="127"/>
        <v>0</v>
      </c>
      <c r="AI393" s="80">
        <f t="shared" si="128"/>
        <v>0</v>
      </c>
      <c r="AJ393" s="638">
        <f t="shared" si="137"/>
        <v>0</v>
      </c>
      <c r="AK393" s="322"/>
      <c r="AL393" s="80">
        <f t="shared" si="129"/>
        <v>0</v>
      </c>
      <c r="AM393" s="79"/>
      <c r="AN393" s="322"/>
      <c r="AO393" s="79"/>
      <c r="AP393" s="322"/>
      <c r="AQ393" s="79"/>
      <c r="AR393" s="322"/>
      <c r="AS393" s="79"/>
      <c r="AT393" s="322"/>
      <c r="AU393" s="325">
        <f t="shared" si="130"/>
        <v>0</v>
      </c>
      <c r="AV393" s="90">
        <f t="shared" si="122"/>
        <v>0</v>
      </c>
      <c r="AW393" s="324">
        <f t="shared" si="131"/>
        <v>0</v>
      </c>
      <c r="AX393" s="80">
        <f t="shared" si="123"/>
        <v>0</v>
      </c>
      <c r="AY393" s="326">
        <f t="shared" si="132"/>
        <v>1405.6399999999999</v>
      </c>
      <c r="AZ393" s="80">
        <f t="shared" si="133"/>
        <v>1528</v>
      </c>
    </row>
    <row r="394" spans="1:52">
      <c r="A394" s="94" t="s">
        <v>596</v>
      </c>
      <c r="B394" s="94" t="s">
        <v>650</v>
      </c>
      <c r="C394" s="232">
        <v>199023</v>
      </c>
      <c r="D394" s="104">
        <v>10</v>
      </c>
      <c r="E394" s="162" t="s">
        <v>442</v>
      </c>
      <c r="F394" s="163" t="s">
        <v>442</v>
      </c>
      <c r="G394" s="79"/>
      <c r="H394" s="322"/>
      <c r="I394" s="79">
        <v>14004.3</v>
      </c>
      <c r="J394" s="351">
        <v>14190</v>
      </c>
      <c r="K394" s="79">
        <v>4826.7</v>
      </c>
      <c r="L394" s="351">
        <v>4590</v>
      </c>
      <c r="M394" s="79">
        <v>15203.4</v>
      </c>
      <c r="N394" s="351">
        <v>14790</v>
      </c>
      <c r="O394" s="323">
        <f t="shared" si="124"/>
        <v>34034.400000000001</v>
      </c>
      <c r="P394" s="638">
        <f t="shared" si="134"/>
        <v>34034.400000000001</v>
      </c>
      <c r="Q394" s="351">
        <v>939.9</v>
      </c>
      <c r="R394" s="90">
        <f t="shared" si="120"/>
        <v>1134.48</v>
      </c>
      <c r="S394" s="324">
        <f t="shared" si="125"/>
        <v>33570</v>
      </c>
      <c r="T394" s="638">
        <f t="shared" si="135"/>
        <v>33570</v>
      </c>
      <c r="U394" s="351">
        <v>594.29999999999995</v>
      </c>
      <c r="V394" s="80">
        <f t="shared" si="121"/>
        <v>1119</v>
      </c>
      <c r="W394" s="79"/>
      <c r="X394" s="322"/>
      <c r="Y394" s="79"/>
      <c r="Z394" s="322"/>
      <c r="AA394" s="79"/>
      <c r="AB394" s="322"/>
      <c r="AC394" s="79"/>
      <c r="AD394" s="322"/>
      <c r="AE394" s="323">
        <f t="shared" si="126"/>
        <v>0</v>
      </c>
      <c r="AF394" s="638">
        <f t="shared" si="136"/>
        <v>0</v>
      </c>
      <c r="AG394" s="322"/>
      <c r="AH394" s="90">
        <f t="shared" si="127"/>
        <v>0</v>
      </c>
      <c r="AI394" s="80">
        <f t="shared" si="128"/>
        <v>0</v>
      </c>
      <c r="AJ394" s="638">
        <f t="shared" si="137"/>
        <v>0</v>
      </c>
      <c r="AK394" s="322"/>
      <c r="AL394" s="80">
        <f t="shared" si="129"/>
        <v>0</v>
      </c>
      <c r="AM394" s="79"/>
      <c r="AN394" s="322"/>
      <c r="AO394" s="79"/>
      <c r="AP394" s="322"/>
      <c r="AQ394" s="79"/>
      <c r="AR394" s="322"/>
      <c r="AS394" s="79"/>
      <c r="AT394" s="322"/>
      <c r="AU394" s="325">
        <f t="shared" si="130"/>
        <v>0</v>
      </c>
      <c r="AV394" s="90">
        <f t="shared" si="122"/>
        <v>0</v>
      </c>
      <c r="AW394" s="324">
        <f t="shared" si="131"/>
        <v>0</v>
      </c>
      <c r="AX394" s="80">
        <f t="shared" si="123"/>
        <v>0</v>
      </c>
      <c r="AY394" s="326">
        <f t="shared" si="132"/>
        <v>1134.48</v>
      </c>
      <c r="AZ394" s="80">
        <f t="shared" si="133"/>
        <v>1119</v>
      </c>
    </row>
    <row r="395" spans="1:52">
      <c r="A395" s="94" t="s">
        <v>596</v>
      </c>
      <c r="B395" s="94" t="s">
        <v>651</v>
      </c>
      <c r="C395" s="232">
        <v>199263</v>
      </c>
      <c r="D395" s="95">
        <v>10</v>
      </c>
      <c r="E395" s="162" t="s">
        <v>442</v>
      </c>
      <c r="F395" s="163" t="s">
        <v>442</v>
      </c>
      <c r="G395" s="79"/>
      <c r="H395" s="322"/>
      <c r="I395" s="79">
        <v>7357.2</v>
      </c>
      <c r="J395" s="351">
        <v>7170</v>
      </c>
      <c r="K395" s="79">
        <v>2593.1999999999998</v>
      </c>
      <c r="L395" s="351">
        <v>2460</v>
      </c>
      <c r="M395" s="79">
        <v>7427.7</v>
      </c>
      <c r="N395" s="351">
        <v>8310</v>
      </c>
      <c r="O395" s="323">
        <f t="shared" si="124"/>
        <v>17378.099999999999</v>
      </c>
      <c r="P395" s="638">
        <f t="shared" si="134"/>
        <v>17378.099999999999</v>
      </c>
      <c r="Q395" s="351">
        <v>1413.9</v>
      </c>
      <c r="R395" s="90">
        <f t="shared" si="120"/>
        <v>579.27</v>
      </c>
      <c r="S395" s="324">
        <f t="shared" si="125"/>
        <v>17940</v>
      </c>
      <c r="T395" s="638">
        <f t="shared" si="135"/>
        <v>17940</v>
      </c>
      <c r="U395" s="351">
        <v>763.2</v>
      </c>
      <c r="V395" s="80">
        <f t="shared" si="121"/>
        <v>598</v>
      </c>
      <c r="W395" s="79"/>
      <c r="X395" s="322"/>
      <c r="Y395" s="79"/>
      <c r="Z395" s="322"/>
      <c r="AA395" s="79"/>
      <c r="AB395" s="322"/>
      <c r="AC395" s="79"/>
      <c r="AD395" s="322"/>
      <c r="AE395" s="323">
        <f t="shared" si="126"/>
        <v>0</v>
      </c>
      <c r="AF395" s="638">
        <f t="shared" si="136"/>
        <v>0</v>
      </c>
      <c r="AG395" s="322"/>
      <c r="AH395" s="90">
        <f t="shared" si="127"/>
        <v>0</v>
      </c>
      <c r="AI395" s="80">
        <f t="shared" si="128"/>
        <v>0</v>
      </c>
      <c r="AJ395" s="638">
        <f t="shared" si="137"/>
        <v>0</v>
      </c>
      <c r="AK395" s="322"/>
      <c r="AL395" s="80">
        <f t="shared" si="129"/>
        <v>0</v>
      </c>
      <c r="AM395" s="79"/>
      <c r="AN395" s="322"/>
      <c r="AO395" s="79"/>
      <c r="AP395" s="322"/>
      <c r="AQ395" s="79"/>
      <c r="AR395" s="322"/>
      <c r="AS395" s="79"/>
      <c r="AT395" s="322"/>
      <c r="AU395" s="325">
        <f t="shared" si="130"/>
        <v>0</v>
      </c>
      <c r="AV395" s="90">
        <f t="shared" si="122"/>
        <v>0</v>
      </c>
      <c r="AW395" s="324">
        <f t="shared" si="131"/>
        <v>0</v>
      </c>
      <c r="AX395" s="80">
        <f t="shared" si="123"/>
        <v>0</v>
      </c>
      <c r="AY395" s="326">
        <f t="shared" si="132"/>
        <v>579.27</v>
      </c>
      <c r="AZ395" s="80">
        <f t="shared" si="133"/>
        <v>598</v>
      </c>
    </row>
    <row r="396" spans="1:52">
      <c r="A396" s="94" t="s">
        <v>596</v>
      </c>
      <c r="B396" s="94" t="s">
        <v>652</v>
      </c>
      <c r="C396" s="232">
        <v>199467</v>
      </c>
      <c r="D396" s="95">
        <v>10</v>
      </c>
      <c r="E396" s="162" t="s">
        <v>442</v>
      </c>
      <c r="F396" s="163" t="s">
        <v>442</v>
      </c>
      <c r="G396" s="79"/>
      <c r="H396" s="322"/>
      <c r="I396" s="79">
        <v>12621.6</v>
      </c>
      <c r="J396" s="351">
        <v>11940</v>
      </c>
      <c r="K396" s="79">
        <v>2696.4</v>
      </c>
      <c r="L396" s="351">
        <v>2490</v>
      </c>
      <c r="M396" s="79">
        <v>13301.4</v>
      </c>
      <c r="N396" s="351">
        <v>14610</v>
      </c>
      <c r="O396" s="323">
        <f t="shared" si="124"/>
        <v>28619.4</v>
      </c>
      <c r="P396" s="638">
        <f t="shared" si="134"/>
        <v>28619.4</v>
      </c>
      <c r="Q396" s="351">
        <v>841.8</v>
      </c>
      <c r="R396" s="90">
        <f t="shared" si="120"/>
        <v>953.98</v>
      </c>
      <c r="S396" s="324">
        <f t="shared" si="125"/>
        <v>29040</v>
      </c>
      <c r="T396" s="638">
        <f t="shared" si="135"/>
        <v>29040</v>
      </c>
      <c r="U396" s="351">
        <v>1226.4000000000001</v>
      </c>
      <c r="V396" s="80">
        <f t="shared" si="121"/>
        <v>968</v>
      </c>
      <c r="W396" s="79"/>
      <c r="X396" s="322"/>
      <c r="Y396" s="79"/>
      <c r="Z396" s="322"/>
      <c r="AA396" s="79"/>
      <c r="AB396" s="322"/>
      <c r="AC396" s="79"/>
      <c r="AD396" s="322"/>
      <c r="AE396" s="323">
        <f t="shared" si="126"/>
        <v>0</v>
      </c>
      <c r="AF396" s="638">
        <f t="shared" si="136"/>
        <v>0</v>
      </c>
      <c r="AG396" s="322"/>
      <c r="AH396" s="90">
        <f t="shared" si="127"/>
        <v>0</v>
      </c>
      <c r="AI396" s="80">
        <f t="shared" si="128"/>
        <v>0</v>
      </c>
      <c r="AJ396" s="638">
        <f t="shared" si="137"/>
        <v>0</v>
      </c>
      <c r="AK396" s="322"/>
      <c r="AL396" s="80">
        <f t="shared" si="129"/>
        <v>0</v>
      </c>
      <c r="AM396" s="79"/>
      <c r="AN396" s="322"/>
      <c r="AO396" s="79"/>
      <c r="AP396" s="322"/>
      <c r="AQ396" s="79"/>
      <c r="AR396" s="322"/>
      <c r="AS396" s="79"/>
      <c r="AT396" s="322"/>
      <c r="AU396" s="325">
        <f t="shared" si="130"/>
        <v>0</v>
      </c>
      <c r="AV396" s="90">
        <f t="shared" si="122"/>
        <v>0</v>
      </c>
      <c r="AW396" s="324">
        <f t="shared" si="131"/>
        <v>0</v>
      </c>
      <c r="AX396" s="80">
        <f t="shared" si="123"/>
        <v>0</v>
      </c>
      <c r="AY396" s="326">
        <f t="shared" si="132"/>
        <v>953.98</v>
      </c>
      <c r="AZ396" s="80">
        <f t="shared" si="133"/>
        <v>968</v>
      </c>
    </row>
    <row r="397" spans="1:52">
      <c r="A397" s="94" t="s">
        <v>596</v>
      </c>
      <c r="B397" s="94" t="s">
        <v>653</v>
      </c>
      <c r="C397" s="232">
        <v>199625</v>
      </c>
      <c r="D397" s="95">
        <v>10</v>
      </c>
      <c r="E397" s="162" t="s">
        <v>442</v>
      </c>
      <c r="F397" s="163" t="s">
        <v>442</v>
      </c>
      <c r="G397" s="79"/>
      <c r="H397" s="322"/>
      <c r="I397" s="79">
        <v>21009.9</v>
      </c>
      <c r="J397" s="351">
        <v>22050</v>
      </c>
      <c r="K397" s="79">
        <v>8714.7000000000007</v>
      </c>
      <c r="L397" s="351">
        <v>8490</v>
      </c>
      <c r="M397" s="79">
        <v>24522.9</v>
      </c>
      <c r="N397" s="351">
        <v>26940</v>
      </c>
      <c r="O397" s="323">
        <f t="shared" si="124"/>
        <v>54247.5</v>
      </c>
      <c r="P397" s="638">
        <f t="shared" si="134"/>
        <v>54247.5</v>
      </c>
      <c r="Q397" s="351">
        <v>2409.9</v>
      </c>
      <c r="R397" s="90">
        <f t="shared" si="120"/>
        <v>1808.25</v>
      </c>
      <c r="S397" s="324">
        <f t="shared" si="125"/>
        <v>57480</v>
      </c>
      <c r="T397" s="638">
        <f t="shared" si="135"/>
        <v>57480</v>
      </c>
      <c r="U397" s="351">
        <v>2743.2</v>
      </c>
      <c r="V397" s="80">
        <f t="shared" si="121"/>
        <v>1916</v>
      </c>
      <c r="W397" s="79"/>
      <c r="X397" s="322"/>
      <c r="Y397" s="79"/>
      <c r="Z397" s="322"/>
      <c r="AA397" s="79"/>
      <c r="AB397" s="322"/>
      <c r="AC397" s="79"/>
      <c r="AD397" s="322"/>
      <c r="AE397" s="323">
        <f t="shared" si="126"/>
        <v>0</v>
      </c>
      <c r="AF397" s="638">
        <f t="shared" si="136"/>
        <v>0</v>
      </c>
      <c r="AG397" s="322"/>
      <c r="AH397" s="90">
        <f t="shared" si="127"/>
        <v>0</v>
      </c>
      <c r="AI397" s="80">
        <f t="shared" si="128"/>
        <v>0</v>
      </c>
      <c r="AJ397" s="638">
        <f t="shared" si="137"/>
        <v>0</v>
      </c>
      <c r="AK397" s="322"/>
      <c r="AL397" s="80">
        <f t="shared" si="129"/>
        <v>0</v>
      </c>
      <c r="AM397" s="79"/>
      <c r="AN397" s="322"/>
      <c r="AO397" s="79"/>
      <c r="AP397" s="322"/>
      <c r="AQ397" s="79"/>
      <c r="AR397" s="322"/>
      <c r="AS397" s="79"/>
      <c r="AT397" s="322"/>
      <c r="AU397" s="325">
        <f t="shared" si="130"/>
        <v>0</v>
      </c>
      <c r="AV397" s="90">
        <f t="shared" si="122"/>
        <v>0</v>
      </c>
      <c r="AW397" s="324">
        <f t="shared" si="131"/>
        <v>0</v>
      </c>
      <c r="AX397" s="80">
        <f t="shared" si="123"/>
        <v>0</v>
      </c>
      <c r="AY397" s="326">
        <f t="shared" si="132"/>
        <v>1808.25</v>
      </c>
      <c r="AZ397" s="80">
        <f t="shared" si="133"/>
        <v>1916</v>
      </c>
    </row>
    <row r="398" spans="1:52">
      <c r="A398" s="94" t="s">
        <v>596</v>
      </c>
      <c r="B398" s="94" t="s">
        <v>654</v>
      </c>
      <c r="C398" s="232">
        <v>199795</v>
      </c>
      <c r="D398" s="95">
        <v>10</v>
      </c>
      <c r="E398" s="162" t="s">
        <v>442</v>
      </c>
      <c r="F398" s="163" t="s">
        <v>442</v>
      </c>
      <c r="G398" s="79"/>
      <c r="H398" s="322"/>
      <c r="I398" s="79">
        <v>16084.5</v>
      </c>
      <c r="J398" s="351">
        <v>14100</v>
      </c>
      <c r="K398" s="79">
        <v>5442.6</v>
      </c>
      <c r="L398" s="351">
        <v>4590</v>
      </c>
      <c r="M398" s="79">
        <v>16172.1</v>
      </c>
      <c r="N398" s="351">
        <v>16110</v>
      </c>
      <c r="O398" s="323">
        <f t="shared" si="124"/>
        <v>37699.199999999997</v>
      </c>
      <c r="P398" s="638">
        <f t="shared" si="134"/>
        <v>37699.199999999997</v>
      </c>
      <c r="Q398" s="351">
        <v>3341.3999999999996</v>
      </c>
      <c r="R398" s="90">
        <f t="shared" si="120"/>
        <v>1256.6399999999999</v>
      </c>
      <c r="S398" s="324">
        <f t="shared" si="125"/>
        <v>34800</v>
      </c>
      <c r="T398" s="638">
        <f t="shared" si="135"/>
        <v>34800</v>
      </c>
      <c r="U398" s="351">
        <v>4027.7999999999997</v>
      </c>
      <c r="V398" s="80">
        <f t="shared" si="121"/>
        <v>1160</v>
      </c>
      <c r="W398" s="79"/>
      <c r="X398" s="322"/>
      <c r="Y398" s="79"/>
      <c r="Z398" s="322"/>
      <c r="AA398" s="79"/>
      <c r="AB398" s="322"/>
      <c r="AC398" s="79"/>
      <c r="AD398" s="322"/>
      <c r="AE398" s="323">
        <f t="shared" si="126"/>
        <v>0</v>
      </c>
      <c r="AF398" s="638">
        <f t="shared" si="136"/>
        <v>0</v>
      </c>
      <c r="AG398" s="322"/>
      <c r="AH398" s="90">
        <f t="shared" si="127"/>
        <v>0</v>
      </c>
      <c r="AI398" s="80">
        <f t="shared" si="128"/>
        <v>0</v>
      </c>
      <c r="AJ398" s="638">
        <f t="shared" si="137"/>
        <v>0</v>
      </c>
      <c r="AK398" s="322"/>
      <c r="AL398" s="80">
        <f t="shared" si="129"/>
        <v>0</v>
      </c>
      <c r="AM398" s="79"/>
      <c r="AN398" s="322"/>
      <c r="AO398" s="79"/>
      <c r="AP398" s="322"/>
      <c r="AQ398" s="79"/>
      <c r="AR398" s="322"/>
      <c r="AS398" s="79"/>
      <c r="AT398" s="322"/>
      <c r="AU398" s="325">
        <f t="shared" si="130"/>
        <v>0</v>
      </c>
      <c r="AV398" s="90">
        <f t="shared" si="122"/>
        <v>0</v>
      </c>
      <c r="AW398" s="324">
        <f t="shared" si="131"/>
        <v>0</v>
      </c>
      <c r="AX398" s="80">
        <f t="shared" si="123"/>
        <v>0</v>
      </c>
      <c r="AY398" s="326">
        <f t="shared" si="132"/>
        <v>1256.6399999999999</v>
      </c>
      <c r="AZ398" s="80">
        <f t="shared" si="133"/>
        <v>1160</v>
      </c>
    </row>
    <row r="399" spans="1:52">
      <c r="A399" s="91" t="s">
        <v>724</v>
      </c>
      <c r="B399" s="91" t="s">
        <v>227</v>
      </c>
      <c r="C399" s="211">
        <v>207388</v>
      </c>
      <c r="D399" s="93">
        <v>1</v>
      </c>
      <c r="E399" s="162" t="s">
        <v>442</v>
      </c>
      <c r="F399" s="163" t="s">
        <v>442</v>
      </c>
      <c r="G399" s="79"/>
      <c r="H399" s="322"/>
      <c r="I399" s="79">
        <v>233495</v>
      </c>
      <c r="J399" s="322">
        <f>91705+137381</f>
        <v>229086</v>
      </c>
      <c r="K399" s="79">
        <v>29195</v>
      </c>
      <c r="L399" s="322">
        <f>5881+23926</f>
        <v>29807</v>
      </c>
      <c r="M399" s="79">
        <v>247096</v>
      </c>
      <c r="N399" s="529">
        <v>242557</v>
      </c>
      <c r="O399" s="323">
        <f t="shared" si="124"/>
        <v>509786</v>
      </c>
      <c r="P399" s="638">
        <f t="shared" si="134"/>
        <v>509786</v>
      </c>
      <c r="Q399" s="322">
        <v>790</v>
      </c>
      <c r="R399" s="90">
        <f t="shared" si="120"/>
        <v>16992.866666666665</v>
      </c>
      <c r="S399" s="324">
        <f t="shared" si="125"/>
        <v>501450</v>
      </c>
      <c r="T399" s="638">
        <f t="shared" si="135"/>
        <v>501450</v>
      </c>
      <c r="U399" s="322">
        <v>989</v>
      </c>
      <c r="V399" s="80">
        <f t="shared" si="121"/>
        <v>16715</v>
      </c>
      <c r="W399" s="79"/>
      <c r="X399" s="322"/>
      <c r="Y399" s="79"/>
      <c r="Z399" s="322"/>
      <c r="AA399" s="79"/>
      <c r="AB399" s="322"/>
      <c r="AC399" s="79"/>
      <c r="AD399" s="322"/>
      <c r="AE399" s="323">
        <f t="shared" si="126"/>
        <v>0</v>
      </c>
      <c r="AF399" s="638">
        <f t="shared" si="136"/>
        <v>0</v>
      </c>
      <c r="AG399" s="322"/>
      <c r="AH399" s="90">
        <f t="shared" si="127"/>
        <v>0</v>
      </c>
      <c r="AI399" s="80">
        <f t="shared" si="128"/>
        <v>0</v>
      </c>
      <c r="AJ399" s="638">
        <f t="shared" si="137"/>
        <v>0</v>
      </c>
      <c r="AK399" s="322"/>
      <c r="AL399" s="80">
        <f t="shared" si="129"/>
        <v>0</v>
      </c>
      <c r="AM399" s="79"/>
      <c r="AN399" s="322"/>
      <c r="AO399" s="79">
        <v>27256</v>
      </c>
      <c r="AP399" s="322">
        <f>27348+438</f>
        <v>27786</v>
      </c>
      <c r="AQ399" s="79">
        <v>9615</v>
      </c>
      <c r="AR399" s="322">
        <v>9447</v>
      </c>
      <c r="AS399" s="79">
        <v>29058</v>
      </c>
      <c r="AT399" s="529">
        <f>29564+555</f>
        <v>30119</v>
      </c>
      <c r="AU399" s="325">
        <f t="shared" si="130"/>
        <v>65929</v>
      </c>
      <c r="AV399" s="90">
        <f t="shared" si="122"/>
        <v>2747.0416666666665</v>
      </c>
      <c r="AW399" s="324">
        <f t="shared" si="131"/>
        <v>67352</v>
      </c>
      <c r="AX399" s="80">
        <f t="shared" si="123"/>
        <v>2806.3333333333335</v>
      </c>
      <c r="AY399" s="326">
        <f t="shared" si="132"/>
        <v>19739.908333333333</v>
      </c>
      <c r="AZ399" s="80">
        <f t="shared" si="133"/>
        <v>19521.333333333332</v>
      </c>
    </row>
    <row r="400" spans="1:52">
      <c r="A400" s="91" t="s">
        <v>724</v>
      </c>
      <c r="B400" s="91" t="s">
        <v>228</v>
      </c>
      <c r="C400" s="211">
        <v>207500</v>
      </c>
      <c r="D400" s="93">
        <v>1</v>
      </c>
      <c r="E400" s="162" t="s">
        <v>442</v>
      </c>
      <c r="F400" s="163" t="s">
        <v>442</v>
      </c>
      <c r="G400" s="79"/>
      <c r="H400" s="322"/>
      <c r="I400" s="79">
        <v>252239</v>
      </c>
      <c r="J400" s="322">
        <f>69588+167459+16473</f>
        <v>253520</v>
      </c>
      <c r="K400" s="79">
        <v>32486</v>
      </c>
      <c r="L400" s="322">
        <f>3959+23778+4995</f>
        <v>32732</v>
      </c>
      <c r="M400" s="79">
        <v>275348</v>
      </c>
      <c r="N400" s="529">
        <v>275747</v>
      </c>
      <c r="O400" s="323">
        <f t="shared" si="124"/>
        <v>560073</v>
      </c>
      <c r="P400" s="638">
        <f t="shared" si="134"/>
        <v>560073</v>
      </c>
      <c r="Q400" s="322">
        <v>322</v>
      </c>
      <c r="R400" s="90">
        <f t="shared" si="120"/>
        <v>18669.099999999999</v>
      </c>
      <c r="S400" s="324">
        <f t="shared" si="125"/>
        <v>561999</v>
      </c>
      <c r="T400" s="638">
        <f t="shared" si="135"/>
        <v>561999</v>
      </c>
      <c r="U400" s="322">
        <v>336</v>
      </c>
      <c r="V400" s="80">
        <f t="shared" si="121"/>
        <v>18733.3</v>
      </c>
      <c r="W400" s="79"/>
      <c r="X400" s="322"/>
      <c r="Y400" s="79"/>
      <c r="Z400" s="322"/>
      <c r="AA400" s="79"/>
      <c r="AB400" s="322"/>
      <c r="AC400" s="79"/>
      <c r="AD400" s="322"/>
      <c r="AE400" s="323">
        <f t="shared" si="126"/>
        <v>0</v>
      </c>
      <c r="AF400" s="638">
        <f t="shared" si="136"/>
        <v>0</v>
      </c>
      <c r="AG400" s="322"/>
      <c r="AH400" s="90">
        <f t="shared" si="127"/>
        <v>0</v>
      </c>
      <c r="AI400" s="80">
        <f t="shared" si="128"/>
        <v>0</v>
      </c>
      <c r="AJ400" s="638">
        <f t="shared" si="137"/>
        <v>0</v>
      </c>
      <c r="AK400" s="322"/>
      <c r="AL400" s="80">
        <f t="shared" si="129"/>
        <v>0</v>
      </c>
      <c r="AM400" s="79"/>
      <c r="AN400" s="322"/>
      <c r="AO400" s="79">
        <v>46199</v>
      </c>
      <c r="AP400" s="322">
        <f>39519+7235</f>
        <v>46754</v>
      </c>
      <c r="AQ400" s="79">
        <v>18162</v>
      </c>
      <c r="AR400" s="322">
        <f>14613+4162</f>
        <v>18775</v>
      </c>
      <c r="AS400" s="79">
        <v>45506</v>
      </c>
      <c r="AT400" s="529">
        <f>40491+8572</f>
        <v>49063</v>
      </c>
      <c r="AU400" s="325">
        <f t="shared" si="130"/>
        <v>109867</v>
      </c>
      <c r="AV400" s="90">
        <f t="shared" si="122"/>
        <v>4577.791666666667</v>
      </c>
      <c r="AW400" s="324">
        <f t="shared" si="131"/>
        <v>114592</v>
      </c>
      <c r="AX400" s="80">
        <f t="shared" si="123"/>
        <v>4774.666666666667</v>
      </c>
      <c r="AY400" s="326">
        <f t="shared" si="132"/>
        <v>23246.891666666666</v>
      </c>
      <c r="AZ400" s="80">
        <f t="shared" si="133"/>
        <v>23507.966666666667</v>
      </c>
    </row>
    <row r="401" spans="1:52">
      <c r="A401" s="91" t="s">
        <v>724</v>
      </c>
      <c r="B401" s="105" t="s">
        <v>229</v>
      </c>
      <c r="C401" s="210">
        <v>207263</v>
      </c>
      <c r="D401" s="108">
        <v>3</v>
      </c>
      <c r="E401" s="162" t="s">
        <v>442</v>
      </c>
      <c r="F401" s="163" t="s">
        <v>442</v>
      </c>
      <c r="G401" s="79"/>
      <c r="H401" s="322"/>
      <c r="I401" s="79">
        <v>92744</v>
      </c>
      <c r="J401" s="322">
        <f>31259+59004</f>
        <v>90263</v>
      </c>
      <c r="K401" s="79">
        <v>14271</v>
      </c>
      <c r="L401" s="322">
        <f>3029+12295</f>
        <v>15324</v>
      </c>
      <c r="M401" s="79">
        <v>99809</v>
      </c>
      <c r="N401" s="529">
        <v>92752</v>
      </c>
      <c r="O401" s="323">
        <f t="shared" si="124"/>
        <v>206824</v>
      </c>
      <c r="P401" s="638">
        <f t="shared" si="134"/>
        <v>206824</v>
      </c>
      <c r="Q401" s="322">
        <v>874</v>
      </c>
      <c r="R401" s="90">
        <f t="shared" si="120"/>
        <v>6894.1333333333332</v>
      </c>
      <c r="S401" s="324">
        <f t="shared" si="125"/>
        <v>198339</v>
      </c>
      <c r="T401" s="638">
        <f t="shared" si="135"/>
        <v>198339</v>
      </c>
      <c r="U401" s="322">
        <v>983</v>
      </c>
      <c r="V401" s="80">
        <f t="shared" si="121"/>
        <v>6611.3</v>
      </c>
      <c r="W401" s="79"/>
      <c r="X401" s="322"/>
      <c r="Y401" s="79"/>
      <c r="Z401" s="322"/>
      <c r="AA401" s="79"/>
      <c r="AB401" s="322"/>
      <c r="AC401" s="79"/>
      <c r="AD401" s="322"/>
      <c r="AE401" s="323">
        <f t="shared" si="126"/>
        <v>0</v>
      </c>
      <c r="AF401" s="638">
        <f t="shared" si="136"/>
        <v>0</v>
      </c>
      <c r="AG401" s="322"/>
      <c r="AH401" s="90">
        <f t="shared" si="127"/>
        <v>0</v>
      </c>
      <c r="AI401" s="80">
        <f t="shared" si="128"/>
        <v>0</v>
      </c>
      <c r="AJ401" s="638">
        <f t="shared" si="137"/>
        <v>0</v>
      </c>
      <c r="AK401" s="322"/>
      <c r="AL401" s="80">
        <f t="shared" si="129"/>
        <v>0</v>
      </c>
      <c r="AM401" s="79"/>
      <c r="AN401" s="322"/>
      <c r="AO401" s="79">
        <v>5664</v>
      </c>
      <c r="AP401" s="322">
        <v>5804</v>
      </c>
      <c r="AQ401" s="79">
        <v>2478</v>
      </c>
      <c r="AR401" s="322">
        <v>2494</v>
      </c>
      <c r="AS401" s="79">
        <v>6188</v>
      </c>
      <c r="AT401" s="529">
        <v>6516</v>
      </c>
      <c r="AU401" s="325">
        <f t="shared" si="130"/>
        <v>14330</v>
      </c>
      <c r="AV401" s="90">
        <f t="shared" si="122"/>
        <v>597.08333333333337</v>
      </c>
      <c r="AW401" s="324">
        <f t="shared" si="131"/>
        <v>14814</v>
      </c>
      <c r="AX401" s="80">
        <f t="shared" si="123"/>
        <v>617.25</v>
      </c>
      <c r="AY401" s="326">
        <f t="shared" si="132"/>
        <v>7491.2166666666662</v>
      </c>
      <c r="AZ401" s="80">
        <f t="shared" si="133"/>
        <v>7228.55</v>
      </c>
    </row>
    <row r="402" spans="1:52">
      <c r="A402" s="91" t="s">
        <v>724</v>
      </c>
      <c r="B402" s="91" t="s">
        <v>230</v>
      </c>
      <c r="C402" s="211">
        <v>206941</v>
      </c>
      <c r="D402" s="93">
        <v>3</v>
      </c>
      <c r="E402" s="162" t="s">
        <v>442</v>
      </c>
      <c r="F402" s="163" t="s">
        <v>442</v>
      </c>
      <c r="G402" s="79"/>
      <c r="H402" s="322"/>
      <c r="I402" s="79">
        <v>136558</v>
      </c>
      <c r="J402" s="322">
        <f>45999+89994</f>
        <v>135993</v>
      </c>
      <c r="K402" s="79">
        <v>20852</v>
      </c>
      <c r="L402" s="322">
        <f>5079+17596</f>
        <v>22675</v>
      </c>
      <c r="M402" s="79">
        <v>167324</v>
      </c>
      <c r="N402" s="529">
        <v>149369</v>
      </c>
      <c r="O402" s="323">
        <f t="shared" si="124"/>
        <v>324734</v>
      </c>
      <c r="P402" s="638">
        <f t="shared" si="134"/>
        <v>324734</v>
      </c>
      <c r="Q402" s="322">
        <v>2291</v>
      </c>
      <c r="R402" s="90">
        <f t="shared" si="120"/>
        <v>10824.466666666667</v>
      </c>
      <c r="S402" s="324">
        <f t="shared" si="125"/>
        <v>308037</v>
      </c>
      <c r="T402" s="638">
        <f t="shared" si="135"/>
        <v>308037</v>
      </c>
      <c r="U402" s="322">
        <v>2279</v>
      </c>
      <c r="V402" s="80">
        <f t="shared" si="121"/>
        <v>10267.9</v>
      </c>
      <c r="W402" s="79"/>
      <c r="X402" s="322"/>
      <c r="Y402" s="79"/>
      <c r="Z402" s="322"/>
      <c r="AA402" s="79"/>
      <c r="AB402" s="322"/>
      <c r="AC402" s="79"/>
      <c r="AD402" s="322"/>
      <c r="AE402" s="323">
        <f t="shared" si="126"/>
        <v>0</v>
      </c>
      <c r="AF402" s="638">
        <f t="shared" si="136"/>
        <v>0</v>
      </c>
      <c r="AG402" s="322"/>
      <c r="AH402" s="90">
        <f t="shared" si="127"/>
        <v>0</v>
      </c>
      <c r="AI402" s="80">
        <f t="shared" si="128"/>
        <v>0</v>
      </c>
      <c r="AJ402" s="638">
        <f t="shared" si="137"/>
        <v>0</v>
      </c>
      <c r="AK402" s="322"/>
      <c r="AL402" s="80">
        <f t="shared" si="129"/>
        <v>0</v>
      </c>
      <c r="AM402" s="79"/>
      <c r="AN402" s="322"/>
      <c r="AO402" s="79">
        <v>9154</v>
      </c>
      <c r="AP402" s="322">
        <v>9294</v>
      </c>
      <c r="AQ402" s="79">
        <v>4025</v>
      </c>
      <c r="AR402" s="322">
        <v>3990</v>
      </c>
      <c r="AS402" s="79">
        <v>9612</v>
      </c>
      <c r="AT402" s="529">
        <v>10255</v>
      </c>
      <c r="AU402" s="325">
        <f t="shared" si="130"/>
        <v>22791</v>
      </c>
      <c r="AV402" s="90">
        <f t="shared" si="122"/>
        <v>949.625</v>
      </c>
      <c r="AW402" s="324">
        <f t="shared" si="131"/>
        <v>23539</v>
      </c>
      <c r="AX402" s="80">
        <f t="shared" si="123"/>
        <v>980.79166666666663</v>
      </c>
      <c r="AY402" s="326">
        <f t="shared" si="132"/>
        <v>11774.091666666667</v>
      </c>
      <c r="AZ402" s="80">
        <f t="shared" si="133"/>
        <v>11248.691666666666</v>
      </c>
    </row>
    <row r="403" spans="1:52">
      <c r="A403" s="91" t="s">
        <v>724</v>
      </c>
      <c r="B403" s="91" t="s">
        <v>231</v>
      </c>
      <c r="C403" s="211">
        <v>206914</v>
      </c>
      <c r="D403" s="93">
        <v>5</v>
      </c>
      <c r="E403" s="162" t="s">
        <v>442</v>
      </c>
      <c r="F403" s="163" t="s">
        <v>442</v>
      </c>
      <c r="G403" s="79"/>
      <c r="H403" s="322"/>
      <c r="I403" s="79">
        <v>53470</v>
      </c>
      <c r="J403" s="322">
        <f>31024+20563</f>
        <v>51587</v>
      </c>
      <c r="K403" s="79">
        <v>11777</v>
      </c>
      <c r="L403" s="322">
        <f>6295+5285</f>
        <v>11580</v>
      </c>
      <c r="M403" s="79">
        <v>54868</v>
      </c>
      <c r="N403" s="529">
        <v>55018</v>
      </c>
      <c r="O403" s="323">
        <f t="shared" si="124"/>
        <v>120115</v>
      </c>
      <c r="P403" s="638">
        <f t="shared" si="134"/>
        <v>120115</v>
      </c>
      <c r="Q403" s="322">
        <v>1519</v>
      </c>
      <c r="R403" s="90">
        <f t="shared" si="120"/>
        <v>4003.8333333333335</v>
      </c>
      <c r="S403" s="324">
        <f t="shared" si="125"/>
        <v>118185</v>
      </c>
      <c r="T403" s="638">
        <f t="shared" si="135"/>
        <v>118185</v>
      </c>
      <c r="U403" s="322">
        <v>1612</v>
      </c>
      <c r="V403" s="80">
        <f t="shared" si="121"/>
        <v>3939.5</v>
      </c>
      <c r="W403" s="79"/>
      <c r="X403" s="322"/>
      <c r="Y403" s="79"/>
      <c r="Z403" s="322"/>
      <c r="AA403" s="79"/>
      <c r="AB403" s="322"/>
      <c r="AC403" s="79"/>
      <c r="AD403" s="322"/>
      <c r="AE403" s="323">
        <f t="shared" si="126"/>
        <v>0</v>
      </c>
      <c r="AF403" s="638">
        <f t="shared" si="136"/>
        <v>0</v>
      </c>
      <c r="AG403" s="322"/>
      <c r="AH403" s="90">
        <f t="shared" si="127"/>
        <v>0</v>
      </c>
      <c r="AI403" s="80">
        <f t="shared" si="128"/>
        <v>0</v>
      </c>
      <c r="AJ403" s="638">
        <f t="shared" si="137"/>
        <v>0</v>
      </c>
      <c r="AK403" s="322"/>
      <c r="AL403" s="80">
        <f t="shared" si="129"/>
        <v>0</v>
      </c>
      <c r="AM403" s="79"/>
      <c r="AN403" s="322"/>
      <c r="AO403" s="79">
        <v>2937</v>
      </c>
      <c r="AP403" s="322">
        <v>2675</v>
      </c>
      <c r="AQ403" s="79">
        <v>1066</v>
      </c>
      <c r="AR403" s="322">
        <v>978</v>
      </c>
      <c r="AS403" s="79">
        <v>2546</v>
      </c>
      <c r="AT403" s="529">
        <v>2533</v>
      </c>
      <c r="AU403" s="325">
        <f t="shared" si="130"/>
        <v>6549</v>
      </c>
      <c r="AV403" s="90">
        <f t="shared" si="122"/>
        <v>272.875</v>
      </c>
      <c r="AW403" s="324">
        <f t="shared" si="131"/>
        <v>6186</v>
      </c>
      <c r="AX403" s="80">
        <f t="shared" si="123"/>
        <v>257.75</v>
      </c>
      <c r="AY403" s="326">
        <f t="shared" si="132"/>
        <v>4276.7083333333339</v>
      </c>
      <c r="AZ403" s="80">
        <f t="shared" si="133"/>
        <v>4197.25</v>
      </c>
    </row>
    <row r="404" spans="1:52">
      <c r="A404" s="91" t="s">
        <v>724</v>
      </c>
      <c r="B404" s="91" t="s">
        <v>232</v>
      </c>
      <c r="C404" s="211">
        <v>207041</v>
      </c>
      <c r="D404" s="93">
        <v>5</v>
      </c>
      <c r="E404" s="162" t="s">
        <v>442</v>
      </c>
      <c r="F404" s="163" t="s">
        <v>442</v>
      </c>
      <c r="G404" s="79"/>
      <c r="H404" s="322"/>
      <c r="I404" s="79">
        <v>44318</v>
      </c>
      <c r="J404" s="322">
        <f>15227+27889</f>
        <v>43116</v>
      </c>
      <c r="K404" s="79">
        <v>7462</v>
      </c>
      <c r="L404" s="322">
        <f>1788+5900</f>
        <v>7688</v>
      </c>
      <c r="M404" s="79">
        <v>46663</v>
      </c>
      <c r="N404" s="529">
        <v>45362</v>
      </c>
      <c r="O404" s="323">
        <f t="shared" si="124"/>
        <v>98443</v>
      </c>
      <c r="P404" s="638">
        <f t="shared" si="134"/>
        <v>98443</v>
      </c>
      <c r="Q404" s="322">
        <v>393</v>
      </c>
      <c r="R404" s="90">
        <f t="shared" ref="R404:R467" si="138">+O404/30</f>
        <v>3281.4333333333334</v>
      </c>
      <c r="S404" s="324">
        <f t="shared" si="125"/>
        <v>96166</v>
      </c>
      <c r="T404" s="638">
        <f t="shared" si="135"/>
        <v>96166</v>
      </c>
      <c r="U404" s="322">
        <v>384</v>
      </c>
      <c r="V404" s="80">
        <f t="shared" ref="V404:V467" si="139">+S404/30</f>
        <v>3205.5333333333333</v>
      </c>
      <c r="W404" s="79"/>
      <c r="X404" s="322"/>
      <c r="Y404" s="79"/>
      <c r="Z404" s="322"/>
      <c r="AA404" s="79"/>
      <c r="AB404" s="322"/>
      <c r="AC404" s="79"/>
      <c r="AD404" s="322"/>
      <c r="AE404" s="323">
        <f t="shared" si="126"/>
        <v>0</v>
      </c>
      <c r="AF404" s="638">
        <f t="shared" si="136"/>
        <v>0</v>
      </c>
      <c r="AG404" s="322"/>
      <c r="AH404" s="90">
        <f t="shared" si="127"/>
        <v>0</v>
      </c>
      <c r="AI404" s="80">
        <f t="shared" si="128"/>
        <v>0</v>
      </c>
      <c r="AJ404" s="638">
        <f t="shared" si="137"/>
        <v>0</v>
      </c>
      <c r="AK404" s="322"/>
      <c r="AL404" s="80">
        <f t="shared" si="129"/>
        <v>0</v>
      </c>
      <c r="AM404" s="79"/>
      <c r="AN404" s="322"/>
      <c r="AO404" s="79">
        <v>4826</v>
      </c>
      <c r="AP404" s="322">
        <v>5423</v>
      </c>
      <c r="AQ404" s="79">
        <v>3892</v>
      </c>
      <c r="AR404" s="322">
        <v>4743</v>
      </c>
      <c r="AS404" s="79">
        <v>5152</v>
      </c>
      <c r="AT404" s="529">
        <v>5225</v>
      </c>
      <c r="AU404" s="325">
        <f t="shared" si="130"/>
        <v>13870</v>
      </c>
      <c r="AV404" s="90">
        <f t="shared" ref="AV404:AV467" si="140">+AU404/24</f>
        <v>577.91666666666663</v>
      </c>
      <c r="AW404" s="324">
        <f t="shared" si="131"/>
        <v>15391</v>
      </c>
      <c r="AX404" s="80">
        <f t="shared" ref="AX404:AX467" si="141">+AW404/24</f>
        <v>641.29166666666663</v>
      </c>
      <c r="AY404" s="326">
        <f t="shared" si="132"/>
        <v>3859.35</v>
      </c>
      <c r="AZ404" s="80">
        <f t="shared" si="133"/>
        <v>3846.8249999999998</v>
      </c>
    </row>
    <row r="405" spans="1:52">
      <c r="A405" s="91" t="s">
        <v>724</v>
      </c>
      <c r="B405" s="105" t="s">
        <v>233</v>
      </c>
      <c r="C405" s="211">
        <v>207209</v>
      </c>
      <c r="D405" s="93">
        <v>5</v>
      </c>
      <c r="E405" s="162" t="s">
        <v>442</v>
      </c>
      <c r="F405" s="163" t="s">
        <v>442</v>
      </c>
      <c r="G405" s="79"/>
      <c r="H405" s="322"/>
      <c r="I405" s="79">
        <v>31066</v>
      </c>
      <c r="J405" s="322">
        <f>14737+14868</f>
        <v>29605</v>
      </c>
      <c r="K405" s="79">
        <v>4102</v>
      </c>
      <c r="L405" s="529">
        <v>4235</v>
      </c>
      <c r="M405" s="79">
        <v>32813</v>
      </c>
      <c r="N405" s="529">
        <v>32351</v>
      </c>
      <c r="O405" s="323">
        <f t="shared" si="124"/>
        <v>67981</v>
      </c>
      <c r="P405" s="638">
        <f t="shared" si="134"/>
        <v>67981</v>
      </c>
      <c r="Q405" s="322">
        <v>0</v>
      </c>
      <c r="R405" s="90">
        <f t="shared" si="138"/>
        <v>2266.0333333333333</v>
      </c>
      <c r="S405" s="324">
        <f t="shared" si="125"/>
        <v>66191</v>
      </c>
      <c r="T405" s="638">
        <f t="shared" si="135"/>
        <v>66191</v>
      </c>
      <c r="U405" s="322">
        <v>0</v>
      </c>
      <c r="V405" s="80">
        <f t="shared" si="139"/>
        <v>2206.3666666666668</v>
      </c>
      <c r="W405" s="79"/>
      <c r="X405" s="322"/>
      <c r="Y405" s="79"/>
      <c r="Z405" s="322"/>
      <c r="AA405" s="79"/>
      <c r="AB405" s="322"/>
      <c r="AC405" s="79"/>
      <c r="AD405" s="322"/>
      <c r="AE405" s="323">
        <f t="shared" si="126"/>
        <v>0</v>
      </c>
      <c r="AF405" s="638">
        <f t="shared" si="136"/>
        <v>0</v>
      </c>
      <c r="AG405" s="322"/>
      <c r="AH405" s="90">
        <f t="shared" si="127"/>
        <v>0</v>
      </c>
      <c r="AI405" s="80">
        <f t="shared" si="128"/>
        <v>0</v>
      </c>
      <c r="AJ405" s="638">
        <f t="shared" si="137"/>
        <v>0</v>
      </c>
      <c r="AK405" s="322"/>
      <c r="AL405" s="80">
        <f t="shared" si="129"/>
        <v>0</v>
      </c>
      <c r="AM405" s="79"/>
      <c r="AN405" s="322"/>
      <c r="AO405" s="79">
        <v>1590</v>
      </c>
      <c r="AP405" s="322">
        <v>2539</v>
      </c>
      <c r="AQ405" s="79">
        <v>904</v>
      </c>
      <c r="AR405" s="530"/>
      <c r="AS405" s="79">
        <v>2461</v>
      </c>
      <c r="AT405" s="529">
        <v>2095</v>
      </c>
      <c r="AU405" s="325">
        <f t="shared" si="130"/>
        <v>4955</v>
      </c>
      <c r="AV405" s="90">
        <f t="shared" si="140"/>
        <v>206.45833333333334</v>
      </c>
      <c r="AW405" s="324">
        <f t="shared" si="131"/>
        <v>4634</v>
      </c>
      <c r="AX405" s="80">
        <f t="shared" si="141"/>
        <v>193.08333333333334</v>
      </c>
      <c r="AY405" s="326">
        <f t="shared" si="132"/>
        <v>2472.4916666666668</v>
      </c>
      <c r="AZ405" s="80">
        <f t="shared" si="133"/>
        <v>2399.4500000000003</v>
      </c>
    </row>
    <row r="406" spans="1:52">
      <c r="A406" s="91" t="s">
        <v>724</v>
      </c>
      <c r="B406" s="91" t="s">
        <v>234</v>
      </c>
      <c r="C406" s="211">
        <v>207306</v>
      </c>
      <c r="D406" s="93">
        <v>5</v>
      </c>
      <c r="E406" s="162" t="s">
        <v>442</v>
      </c>
      <c r="F406" s="163" t="s">
        <v>442</v>
      </c>
      <c r="G406" s="79"/>
      <c r="H406" s="322"/>
      <c r="I406" s="79">
        <v>20725</v>
      </c>
      <c r="J406" s="322">
        <f>9910+11125</f>
        <v>21035</v>
      </c>
      <c r="K406" s="79">
        <v>3424</v>
      </c>
      <c r="L406" s="322">
        <f>768+2964</f>
        <v>3732</v>
      </c>
      <c r="M406" s="79">
        <v>22500</v>
      </c>
      <c r="N406" s="322">
        <f>12106+10732</f>
        <v>22838</v>
      </c>
      <c r="O406" s="323">
        <f t="shared" si="124"/>
        <v>46649</v>
      </c>
      <c r="P406" s="638">
        <f t="shared" si="134"/>
        <v>46649</v>
      </c>
      <c r="Q406" s="322">
        <v>525</v>
      </c>
      <c r="R406" s="90">
        <f t="shared" si="138"/>
        <v>1554.9666666666667</v>
      </c>
      <c r="S406" s="324">
        <f t="shared" si="125"/>
        <v>47605</v>
      </c>
      <c r="T406" s="638">
        <f t="shared" si="135"/>
        <v>47605</v>
      </c>
      <c r="U406" s="322">
        <v>461</v>
      </c>
      <c r="V406" s="80">
        <f t="shared" si="139"/>
        <v>1586.8333333333333</v>
      </c>
      <c r="W406" s="79"/>
      <c r="X406" s="322"/>
      <c r="Y406" s="79"/>
      <c r="Z406" s="322"/>
      <c r="AA406" s="79"/>
      <c r="AB406" s="322"/>
      <c r="AC406" s="79"/>
      <c r="AD406" s="322"/>
      <c r="AE406" s="323">
        <f t="shared" si="126"/>
        <v>0</v>
      </c>
      <c r="AF406" s="638">
        <f t="shared" si="136"/>
        <v>0</v>
      </c>
      <c r="AG406" s="322"/>
      <c r="AH406" s="90">
        <f t="shared" si="127"/>
        <v>0</v>
      </c>
      <c r="AI406" s="80">
        <f t="shared" si="128"/>
        <v>0</v>
      </c>
      <c r="AJ406" s="638">
        <f t="shared" si="137"/>
        <v>0</v>
      </c>
      <c r="AK406" s="322"/>
      <c r="AL406" s="80">
        <f t="shared" si="129"/>
        <v>0</v>
      </c>
      <c r="AM406" s="79"/>
      <c r="AN406" s="322"/>
      <c r="AO406" s="79">
        <v>1376</v>
      </c>
      <c r="AP406" s="322">
        <v>1593</v>
      </c>
      <c r="AQ406" s="79">
        <v>874</v>
      </c>
      <c r="AR406" s="322">
        <v>1026</v>
      </c>
      <c r="AS406" s="79">
        <v>1488</v>
      </c>
      <c r="AT406" s="529">
        <v>1531</v>
      </c>
      <c r="AU406" s="325">
        <f t="shared" si="130"/>
        <v>3738</v>
      </c>
      <c r="AV406" s="90">
        <f t="shared" si="140"/>
        <v>155.75</v>
      </c>
      <c r="AW406" s="324">
        <f t="shared" si="131"/>
        <v>4150</v>
      </c>
      <c r="AX406" s="80">
        <f t="shared" si="141"/>
        <v>172.91666666666666</v>
      </c>
      <c r="AY406" s="326">
        <f t="shared" si="132"/>
        <v>1710.7166666666667</v>
      </c>
      <c r="AZ406" s="80">
        <f t="shared" si="133"/>
        <v>1759.75</v>
      </c>
    </row>
    <row r="407" spans="1:52">
      <c r="A407" s="91" t="s">
        <v>724</v>
      </c>
      <c r="B407" s="91" t="s">
        <v>235</v>
      </c>
      <c r="C407" s="211">
        <v>207847</v>
      </c>
      <c r="D407" s="93">
        <v>5</v>
      </c>
      <c r="E407" s="162" t="s">
        <v>442</v>
      </c>
      <c r="F407" s="163" t="s">
        <v>442</v>
      </c>
      <c r="G407" s="79"/>
      <c r="H407" s="322"/>
      <c r="I407" s="79">
        <v>39505</v>
      </c>
      <c r="J407" s="322">
        <f>18408+20775</f>
        <v>39183</v>
      </c>
      <c r="K407" s="79">
        <v>8747</v>
      </c>
      <c r="L407" s="322">
        <f>2320+5570</f>
        <v>7890</v>
      </c>
      <c r="M407" s="79">
        <v>44447</v>
      </c>
      <c r="N407" s="529">
        <v>43124</v>
      </c>
      <c r="O407" s="323">
        <f t="shared" si="124"/>
        <v>92699</v>
      </c>
      <c r="P407" s="638">
        <f t="shared" si="134"/>
        <v>92699</v>
      </c>
      <c r="Q407" s="322">
        <v>1157</v>
      </c>
      <c r="R407" s="90">
        <f t="shared" si="138"/>
        <v>3089.9666666666667</v>
      </c>
      <c r="S407" s="324">
        <f t="shared" si="125"/>
        <v>90197</v>
      </c>
      <c r="T407" s="638">
        <f t="shared" si="135"/>
        <v>90197</v>
      </c>
      <c r="U407" s="322">
        <v>1496</v>
      </c>
      <c r="V407" s="80">
        <f t="shared" si="139"/>
        <v>3006.5666666666666</v>
      </c>
      <c r="W407" s="79"/>
      <c r="X407" s="322"/>
      <c r="Y407" s="79"/>
      <c r="Z407" s="322"/>
      <c r="AA407" s="79"/>
      <c r="AB407" s="322"/>
      <c r="AC407" s="79"/>
      <c r="AD407" s="322"/>
      <c r="AE407" s="323">
        <f t="shared" si="126"/>
        <v>0</v>
      </c>
      <c r="AF407" s="638">
        <f t="shared" si="136"/>
        <v>0</v>
      </c>
      <c r="AG407" s="322"/>
      <c r="AH407" s="90">
        <f t="shared" si="127"/>
        <v>0</v>
      </c>
      <c r="AI407" s="80">
        <f t="shared" si="128"/>
        <v>0</v>
      </c>
      <c r="AJ407" s="638">
        <f t="shared" si="137"/>
        <v>0</v>
      </c>
      <c r="AK407" s="322"/>
      <c r="AL407" s="80">
        <f t="shared" si="129"/>
        <v>0</v>
      </c>
      <c r="AM407" s="79"/>
      <c r="AN407" s="322"/>
      <c r="AO407" s="79">
        <v>1972</v>
      </c>
      <c r="AP407" s="322">
        <v>2429</v>
      </c>
      <c r="AQ407" s="79">
        <v>927</v>
      </c>
      <c r="AR407" s="322">
        <v>1118</v>
      </c>
      <c r="AS407" s="79">
        <v>2457</v>
      </c>
      <c r="AT407" s="529">
        <v>2468</v>
      </c>
      <c r="AU407" s="325">
        <f t="shared" si="130"/>
        <v>5356</v>
      </c>
      <c r="AV407" s="90">
        <f t="shared" si="140"/>
        <v>223.16666666666666</v>
      </c>
      <c r="AW407" s="324">
        <f t="shared" si="131"/>
        <v>6015</v>
      </c>
      <c r="AX407" s="80">
        <f t="shared" si="141"/>
        <v>250.625</v>
      </c>
      <c r="AY407" s="326">
        <f t="shared" si="132"/>
        <v>3313.1333333333332</v>
      </c>
      <c r="AZ407" s="80">
        <f t="shared" si="133"/>
        <v>3257.1916666666666</v>
      </c>
    </row>
    <row r="408" spans="1:52">
      <c r="A408" s="91" t="s">
        <v>724</v>
      </c>
      <c r="B408" s="91" t="s">
        <v>236</v>
      </c>
      <c r="C408" s="211">
        <v>207865</v>
      </c>
      <c r="D408" s="93">
        <v>5</v>
      </c>
      <c r="E408" s="162" t="s">
        <v>442</v>
      </c>
      <c r="F408" s="163" t="s">
        <v>442</v>
      </c>
      <c r="G408" s="79"/>
      <c r="H408" s="322"/>
      <c r="I408" s="79">
        <v>51540</v>
      </c>
      <c r="J408" s="322">
        <f>23369+22798+3924+16</f>
        <v>50107</v>
      </c>
      <c r="K408" s="79">
        <v>7412</v>
      </c>
      <c r="L408" s="322">
        <f>1895+3540+1045</f>
        <v>6480</v>
      </c>
      <c r="M408" s="79">
        <v>55841</v>
      </c>
      <c r="N408" s="322">
        <f>28317+20945+4474</f>
        <v>53736</v>
      </c>
      <c r="O408" s="323">
        <f t="shared" si="124"/>
        <v>114793</v>
      </c>
      <c r="P408" s="638">
        <f t="shared" si="134"/>
        <v>114793</v>
      </c>
      <c r="Q408" s="322">
        <f>835+497</f>
        <v>1332</v>
      </c>
      <c r="R408" s="90">
        <f t="shared" si="138"/>
        <v>3826.4333333333334</v>
      </c>
      <c r="S408" s="324">
        <f t="shared" si="125"/>
        <v>110323</v>
      </c>
      <c r="T408" s="638">
        <f t="shared" si="135"/>
        <v>110323</v>
      </c>
      <c r="U408" s="322">
        <f>660+575</f>
        <v>1235</v>
      </c>
      <c r="V408" s="80">
        <f t="shared" si="139"/>
        <v>3677.4333333333334</v>
      </c>
      <c r="W408" s="79"/>
      <c r="X408" s="322"/>
      <c r="Y408" s="79"/>
      <c r="Z408" s="322"/>
      <c r="AA408" s="79"/>
      <c r="AB408" s="322"/>
      <c r="AC408" s="79"/>
      <c r="AD408" s="322"/>
      <c r="AE408" s="323">
        <f t="shared" si="126"/>
        <v>0</v>
      </c>
      <c r="AF408" s="638">
        <f t="shared" si="136"/>
        <v>0</v>
      </c>
      <c r="AG408" s="322"/>
      <c r="AH408" s="90">
        <f t="shared" si="127"/>
        <v>0</v>
      </c>
      <c r="AI408" s="80">
        <f t="shared" si="128"/>
        <v>0</v>
      </c>
      <c r="AJ408" s="638">
        <f t="shared" si="137"/>
        <v>0</v>
      </c>
      <c r="AK408" s="322"/>
      <c r="AL408" s="80">
        <f t="shared" si="129"/>
        <v>0</v>
      </c>
      <c r="AM408" s="79"/>
      <c r="AN408" s="322"/>
      <c r="AO408" s="79">
        <v>3397</v>
      </c>
      <c r="AP408" s="322">
        <v>2904</v>
      </c>
      <c r="AQ408" s="79">
        <v>2613</v>
      </c>
      <c r="AR408" s="322">
        <v>2306</v>
      </c>
      <c r="AS408" s="79">
        <v>2884</v>
      </c>
      <c r="AT408" s="529">
        <v>2569</v>
      </c>
      <c r="AU408" s="325">
        <f t="shared" si="130"/>
        <v>8894</v>
      </c>
      <c r="AV408" s="90">
        <f t="shared" si="140"/>
        <v>370.58333333333331</v>
      </c>
      <c r="AW408" s="324">
        <f t="shared" si="131"/>
        <v>7779</v>
      </c>
      <c r="AX408" s="80">
        <f t="shared" si="141"/>
        <v>324.125</v>
      </c>
      <c r="AY408" s="326">
        <f t="shared" si="132"/>
        <v>4197.0166666666664</v>
      </c>
      <c r="AZ408" s="80">
        <f t="shared" si="133"/>
        <v>4001.5583333333334</v>
      </c>
    </row>
    <row r="409" spans="1:52">
      <c r="A409" s="91" t="s">
        <v>724</v>
      </c>
      <c r="B409" s="91" t="s">
        <v>237</v>
      </c>
      <c r="C409" s="211">
        <v>207351</v>
      </c>
      <c r="D409" s="93">
        <v>6</v>
      </c>
      <c r="E409" s="162" t="s">
        <v>442</v>
      </c>
      <c r="F409" s="163" t="s">
        <v>442</v>
      </c>
      <c r="G409" s="79"/>
      <c r="H409" s="322"/>
      <c r="I409" s="79">
        <v>13524</v>
      </c>
      <c r="J409" s="322">
        <f>7501+6776</f>
        <v>14277</v>
      </c>
      <c r="K409" s="79">
        <v>1722</v>
      </c>
      <c r="L409" s="322">
        <f>509+1116</f>
        <v>1625</v>
      </c>
      <c r="M409" s="79">
        <v>15615</v>
      </c>
      <c r="N409" s="529">
        <v>16370</v>
      </c>
      <c r="O409" s="323">
        <f t="shared" si="124"/>
        <v>30861</v>
      </c>
      <c r="P409" s="638">
        <f t="shared" si="134"/>
        <v>30861</v>
      </c>
      <c r="Q409" s="322">
        <v>354</v>
      </c>
      <c r="R409" s="90">
        <f t="shared" si="138"/>
        <v>1028.7</v>
      </c>
      <c r="S409" s="324">
        <f t="shared" si="125"/>
        <v>32272</v>
      </c>
      <c r="T409" s="638">
        <f t="shared" si="135"/>
        <v>32272</v>
      </c>
      <c r="U409" s="322">
        <v>402</v>
      </c>
      <c r="V409" s="80">
        <f t="shared" si="139"/>
        <v>1075.7333333333333</v>
      </c>
      <c r="W409" s="79"/>
      <c r="X409" s="322"/>
      <c r="Y409" s="79"/>
      <c r="Z409" s="322"/>
      <c r="AA409" s="79"/>
      <c r="AB409" s="322"/>
      <c r="AC409" s="79"/>
      <c r="AD409" s="322"/>
      <c r="AE409" s="323">
        <f t="shared" si="126"/>
        <v>0</v>
      </c>
      <c r="AF409" s="638">
        <f t="shared" si="136"/>
        <v>0</v>
      </c>
      <c r="AG409" s="322"/>
      <c r="AH409" s="90">
        <f t="shared" si="127"/>
        <v>0</v>
      </c>
      <c r="AI409" s="80">
        <f t="shared" si="128"/>
        <v>0</v>
      </c>
      <c r="AJ409" s="638">
        <f t="shared" si="137"/>
        <v>0</v>
      </c>
      <c r="AK409" s="322"/>
      <c r="AL409" s="80">
        <f t="shared" si="129"/>
        <v>0</v>
      </c>
      <c r="AM409" s="79"/>
      <c r="AN409" s="322"/>
      <c r="AO409" s="79"/>
      <c r="AP409" s="322"/>
      <c r="AQ409" s="79"/>
      <c r="AR409" s="322"/>
      <c r="AS409" s="79"/>
      <c r="AT409" s="322"/>
      <c r="AU409" s="325">
        <f t="shared" si="130"/>
        <v>0</v>
      </c>
      <c r="AV409" s="90">
        <f t="shared" si="140"/>
        <v>0</v>
      </c>
      <c r="AW409" s="324">
        <f t="shared" si="131"/>
        <v>0</v>
      </c>
      <c r="AX409" s="80">
        <f t="shared" si="141"/>
        <v>0</v>
      </c>
      <c r="AY409" s="326">
        <f t="shared" si="132"/>
        <v>1028.7</v>
      </c>
      <c r="AZ409" s="80">
        <f t="shared" si="133"/>
        <v>1075.7333333333333</v>
      </c>
    </row>
    <row r="410" spans="1:52">
      <c r="A410" s="91" t="s">
        <v>724</v>
      </c>
      <c r="B410" s="91" t="s">
        <v>239</v>
      </c>
      <c r="C410" s="211">
        <v>207661</v>
      </c>
      <c r="D410" s="93">
        <v>6</v>
      </c>
      <c r="E410" s="162" t="s">
        <v>442</v>
      </c>
      <c r="F410" s="163" t="s">
        <v>442</v>
      </c>
      <c r="G410" s="79"/>
      <c r="H410" s="322"/>
      <c r="I410" s="79">
        <v>35587</v>
      </c>
      <c r="J410" s="322">
        <f>24342+12894</f>
        <v>37236</v>
      </c>
      <c r="K410" s="79">
        <v>6478</v>
      </c>
      <c r="L410" s="322">
        <f>2857+2874</f>
        <v>5731</v>
      </c>
      <c r="M410" s="79">
        <v>41943</v>
      </c>
      <c r="N410" s="529">
        <v>41591</v>
      </c>
      <c r="O410" s="323">
        <f t="shared" si="124"/>
        <v>84008</v>
      </c>
      <c r="P410" s="638">
        <f t="shared" si="134"/>
        <v>84008</v>
      </c>
      <c r="Q410" s="322">
        <v>2230</v>
      </c>
      <c r="R410" s="90">
        <f t="shared" si="138"/>
        <v>2800.2666666666669</v>
      </c>
      <c r="S410" s="324">
        <f t="shared" si="125"/>
        <v>84558</v>
      </c>
      <c r="T410" s="638">
        <f t="shared" si="135"/>
        <v>84558</v>
      </c>
      <c r="U410" s="322">
        <v>1908</v>
      </c>
      <c r="V410" s="80">
        <f t="shared" si="139"/>
        <v>2818.6</v>
      </c>
      <c r="W410" s="79"/>
      <c r="X410" s="322"/>
      <c r="Y410" s="79"/>
      <c r="Z410" s="322"/>
      <c r="AA410" s="79"/>
      <c r="AB410" s="322"/>
      <c r="AC410" s="79"/>
      <c r="AD410" s="322"/>
      <c r="AE410" s="323">
        <f t="shared" si="126"/>
        <v>0</v>
      </c>
      <c r="AF410" s="638">
        <f t="shared" si="136"/>
        <v>0</v>
      </c>
      <c r="AG410" s="322"/>
      <c r="AH410" s="90">
        <f t="shared" si="127"/>
        <v>0</v>
      </c>
      <c r="AI410" s="80">
        <f t="shared" si="128"/>
        <v>0</v>
      </c>
      <c r="AJ410" s="638">
        <f t="shared" si="137"/>
        <v>0</v>
      </c>
      <c r="AK410" s="322"/>
      <c r="AL410" s="80">
        <f t="shared" si="129"/>
        <v>0</v>
      </c>
      <c r="AM410" s="79"/>
      <c r="AN410" s="322"/>
      <c r="AO410" s="79"/>
      <c r="AP410" s="322"/>
      <c r="AQ410" s="79"/>
      <c r="AR410" s="322"/>
      <c r="AS410" s="79"/>
      <c r="AT410" s="322"/>
      <c r="AU410" s="325">
        <f t="shared" si="130"/>
        <v>0</v>
      </c>
      <c r="AV410" s="90">
        <f t="shared" si="140"/>
        <v>0</v>
      </c>
      <c r="AW410" s="324">
        <f t="shared" si="131"/>
        <v>0</v>
      </c>
      <c r="AX410" s="80">
        <f t="shared" si="141"/>
        <v>0</v>
      </c>
      <c r="AY410" s="326">
        <f t="shared" si="132"/>
        <v>2800.2666666666669</v>
      </c>
      <c r="AZ410" s="80">
        <f t="shared" si="133"/>
        <v>2818.6</v>
      </c>
    </row>
    <row r="411" spans="1:52">
      <c r="A411" s="91" t="s">
        <v>724</v>
      </c>
      <c r="B411" s="91" t="s">
        <v>238</v>
      </c>
      <c r="C411" s="211">
        <v>207722</v>
      </c>
      <c r="D411" s="93">
        <v>6</v>
      </c>
      <c r="E411" s="162" t="s">
        <v>442</v>
      </c>
      <c r="F411" s="163" t="s">
        <v>442</v>
      </c>
      <c r="G411" s="79"/>
      <c r="H411" s="322"/>
      <c r="I411" s="79">
        <v>14049</v>
      </c>
      <c r="J411" s="322">
        <f>5874+7428</f>
        <v>13302</v>
      </c>
      <c r="K411" s="79">
        <v>5095</v>
      </c>
      <c r="L411" s="322">
        <f>1504+3181</f>
        <v>4685</v>
      </c>
      <c r="M411" s="79">
        <v>14921</v>
      </c>
      <c r="N411" s="322">
        <f>7414+6879</f>
        <v>14293</v>
      </c>
      <c r="O411" s="323">
        <f t="shared" si="124"/>
        <v>34065</v>
      </c>
      <c r="P411" s="638">
        <f t="shared" si="134"/>
        <v>34065</v>
      </c>
      <c r="Q411" s="322">
        <v>147</v>
      </c>
      <c r="R411" s="90">
        <f t="shared" si="138"/>
        <v>1135.5</v>
      </c>
      <c r="S411" s="324">
        <f t="shared" si="125"/>
        <v>32280</v>
      </c>
      <c r="T411" s="638">
        <f t="shared" si="135"/>
        <v>32280</v>
      </c>
      <c r="U411" s="322">
        <v>109</v>
      </c>
      <c r="V411" s="80">
        <f t="shared" si="139"/>
        <v>1076</v>
      </c>
      <c r="W411" s="79"/>
      <c r="X411" s="322"/>
      <c r="Y411" s="79"/>
      <c r="Z411" s="322"/>
      <c r="AA411" s="79"/>
      <c r="AB411" s="322"/>
      <c r="AC411" s="79"/>
      <c r="AD411" s="322"/>
      <c r="AE411" s="323">
        <f t="shared" si="126"/>
        <v>0</v>
      </c>
      <c r="AF411" s="638">
        <f t="shared" si="136"/>
        <v>0</v>
      </c>
      <c r="AG411" s="322"/>
      <c r="AH411" s="90">
        <f t="shared" si="127"/>
        <v>0</v>
      </c>
      <c r="AI411" s="80">
        <f t="shared" si="128"/>
        <v>0</v>
      </c>
      <c r="AJ411" s="638">
        <f t="shared" si="137"/>
        <v>0</v>
      </c>
      <c r="AK411" s="322"/>
      <c r="AL411" s="80">
        <f t="shared" si="129"/>
        <v>0</v>
      </c>
      <c r="AM411" s="79"/>
      <c r="AN411" s="322"/>
      <c r="AO411" s="79"/>
      <c r="AP411" s="322"/>
      <c r="AQ411" s="79"/>
      <c r="AR411" s="322"/>
      <c r="AS411" s="79"/>
      <c r="AT411" s="322"/>
      <c r="AU411" s="325">
        <f t="shared" si="130"/>
        <v>0</v>
      </c>
      <c r="AV411" s="90">
        <f t="shared" si="140"/>
        <v>0</v>
      </c>
      <c r="AW411" s="324">
        <f t="shared" si="131"/>
        <v>0</v>
      </c>
      <c r="AX411" s="80">
        <f t="shared" si="141"/>
        <v>0</v>
      </c>
      <c r="AY411" s="326">
        <f t="shared" si="132"/>
        <v>1135.5</v>
      </c>
      <c r="AZ411" s="80">
        <f t="shared" si="133"/>
        <v>1076</v>
      </c>
    </row>
    <row r="412" spans="1:52">
      <c r="A412" s="91" t="s">
        <v>724</v>
      </c>
      <c r="B412" s="396" t="s">
        <v>243</v>
      </c>
      <c r="C412" s="397">
        <v>207564</v>
      </c>
      <c r="D412" s="398">
        <v>7</v>
      </c>
      <c r="E412" s="162" t="s">
        <v>442</v>
      </c>
      <c r="F412" s="163" t="s">
        <v>442</v>
      </c>
      <c r="G412" s="79"/>
      <c r="H412" s="322"/>
      <c r="I412" s="79">
        <v>30986</v>
      </c>
      <c r="J412" s="322">
        <f>32434+303</f>
        <v>32737</v>
      </c>
      <c r="K412" s="79">
        <v>17256</v>
      </c>
      <c r="L412" s="322">
        <f>18048+226</f>
        <v>18274</v>
      </c>
      <c r="M412" s="79">
        <v>31847</v>
      </c>
      <c r="N412" s="529">
        <v>37057</v>
      </c>
      <c r="O412" s="323">
        <f t="shared" si="124"/>
        <v>80089</v>
      </c>
      <c r="P412" s="638">
        <f t="shared" si="134"/>
        <v>80089</v>
      </c>
      <c r="Q412" s="322">
        <v>1232</v>
      </c>
      <c r="R412" s="90">
        <f t="shared" si="138"/>
        <v>2669.6333333333332</v>
      </c>
      <c r="S412" s="324">
        <f t="shared" si="125"/>
        <v>88068</v>
      </c>
      <c r="T412" s="638">
        <f t="shared" si="135"/>
        <v>88068</v>
      </c>
      <c r="U412" s="322">
        <v>1054</v>
      </c>
      <c r="V412" s="80">
        <f t="shared" si="139"/>
        <v>2935.6</v>
      </c>
      <c r="W412" s="79"/>
      <c r="X412" s="322"/>
      <c r="Y412" s="79"/>
      <c r="Z412" s="322"/>
      <c r="AA412" s="79"/>
      <c r="AB412" s="322"/>
      <c r="AC412" s="79"/>
      <c r="AD412" s="322"/>
      <c r="AE412" s="323">
        <f t="shared" si="126"/>
        <v>0</v>
      </c>
      <c r="AF412" s="638">
        <f t="shared" si="136"/>
        <v>0</v>
      </c>
      <c r="AG412" s="322"/>
      <c r="AH412" s="90">
        <f t="shared" si="127"/>
        <v>0</v>
      </c>
      <c r="AI412" s="80">
        <f t="shared" si="128"/>
        <v>0</v>
      </c>
      <c r="AJ412" s="638">
        <f t="shared" si="137"/>
        <v>0</v>
      </c>
      <c r="AK412" s="322"/>
      <c r="AL412" s="80">
        <f t="shared" si="129"/>
        <v>0</v>
      </c>
      <c r="AM412" s="79"/>
      <c r="AN412" s="322"/>
      <c r="AO412" s="79"/>
      <c r="AP412" s="322"/>
      <c r="AQ412" s="79"/>
      <c r="AR412" s="322"/>
      <c r="AS412" s="79"/>
      <c r="AT412" s="322"/>
      <c r="AU412" s="325">
        <f t="shared" si="130"/>
        <v>0</v>
      </c>
      <c r="AV412" s="90">
        <f t="shared" si="140"/>
        <v>0</v>
      </c>
      <c r="AW412" s="324">
        <f t="shared" si="131"/>
        <v>0</v>
      </c>
      <c r="AX412" s="80">
        <f t="shared" si="141"/>
        <v>0</v>
      </c>
      <c r="AY412" s="326">
        <f t="shared" si="132"/>
        <v>2669.6333333333332</v>
      </c>
      <c r="AZ412" s="80">
        <f t="shared" si="133"/>
        <v>2935.6</v>
      </c>
    </row>
    <row r="413" spans="1:52">
      <c r="A413" s="91" t="s">
        <v>724</v>
      </c>
      <c r="B413" s="91" t="s">
        <v>240</v>
      </c>
      <c r="C413" s="394">
        <v>207449</v>
      </c>
      <c r="D413" s="346">
        <v>8</v>
      </c>
      <c r="E413" s="162" t="s">
        <v>442</v>
      </c>
      <c r="F413" s="163" t="s">
        <v>442</v>
      </c>
      <c r="G413" s="79"/>
      <c r="H413" s="322"/>
      <c r="I413" s="79">
        <v>103405</v>
      </c>
      <c r="J413" s="322">
        <v>102791</v>
      </c>
      <c r="K413" s="79">
        <v>27238</v>
      </c>
      <c r="L413" s="322">
        <v>26856</v>
      </c>
      <c r="M413" s="79">
        <v>109888</v>
      </c>
      <c r="N413" s="529">
        <v>108830</v>
      </c>
      <c r="O413" s="323">
        <f t="shared" si="124"/>
        <v>240531</v>
      </c>
      <c r="P413" s="638">
        <f t="shared" si="134"/>
        <v>240531</v>
      </c>
      <c r="Q413" s="322">
        <v>3044</v>
      </c>
      <c r="R413" s="90">
        <f t="shared" si="138"/>
        <v>8017.7</v>
      </c>
      <c r="S413" s="324">
        <f t="shared" si="125"/>
        <v>238477</v>
      </c>
      <c r="T413" s="638">
        <f t="shared" si="135"/>
        <v>238477</v>
      </c>
      <c r="U413" s="322">
        <v>5154</v>
      </c>
      <c r="V413" s="80">
        <f t="shared" si="139"/>
        <v>7949.2333333333336</v>
      </c>
      <c r="W413" s="79"/>
      <c r="X413" s="322"/>
      <c r="Y413" s="79"/>
      <c r="Z413" s="322"/>
      <c r="AA413" s="79"/>
      <c r="AB413" s="322"/>
      <c r="AC413" s="79"/>
      <c r="AD413" s="322"/>
      <c r="AE413" s="323">
        <f t="shared" si="126"/>
        <v>0</v>
      </c>
      <c r="AF413" s="638">
        <f t="shared" si="136"/>
        <v>0</v>
      </c>
      <c r="AG413" s="322"/>
      <c r="AH413" s="90">
        <f t="shared" si="127"/>
        <v>0</v>
      </c>
      <c r="AI413" s="80">
        <f t="shared" si="128"/>
        <v>0</v>
      </c>
      <c r="AJ413" s="638">
        <f t="shared" si="137"/>
        <v>0</v>
      </c>
      <c r="AK413" s="322"/>
      <c r="AL413" s="80">
        <f t="shared" si="129"/>
        <v>0</v>
      </c>
      <c r="AM413" s="79"/>
      <c r="AN413" s="322"/>
      <c r="AO413" s="79"/>
      <c r="AP413" s="322"/>
      <c r="AQ413" s="79"/>
      <c r="AR413" s="322"/>
      <c r="AS413" s="79"/>
      <c r="AT413" s="322"/>
      <c r="AU413" s="325">
        <f t="shared" si="130"/>
        <v>0</v>
      </c>
      <c r="AV413" s="90">
        <f t="shared" si="140"/>
        <v>0</v>
      </c>
      <c r="AW413" s="324">
        <f t="shared" si="131"/>
        <v>0</v>
      </c>
      <c r="AX413" s="80">
        <f t="shared" si="141"/>
        <v>0</v>
      </c>
      <c r="AY413" s="326">
        <f t="shared" si="132"/>
        <v>8017.7</v>
      </c>
      <c r="AZ413" s="80">
        <f t="shared" si="133"/>
        <v>7949.2333333333336</v>
      </c>
    </row>
    <row r="414" spans="1:52">
      <c r="A414" s="91" t="s">
        <v>724</v>
      </c>
      <c r="B414" s="395" t="s">
        <v>241</v>
      </c>
      <c r="C414" s="394">
        <v>207935</v>
      </c>
      <c r="D414" s="108">
        <v>8</v>
      </c>
      <c r="E414" s="162" t="s">
        <v>442</v>
      </c>
      <c r="F414" s="163" t="s">
        <v>442</v>
      </c>
      <c r="G414" s="79"/>
      <c r="H414" s="322"/>
      <c r="I414" s="79">
        <v>131840</v>
      </c>
      <c r="J414" s="322">
        <v>138326</v>
      </c>
      <c r="K414" s="79">
        <v>44249</v>
      </c>
      <c r="L414" s="322">
        <v>46432</v>
      </c>
      <c r="M414" s="79">
        <v>143016</v>
      </c>
      <c r="N414" s="529">
        <v>156006</v>
      </c>
      <c r="O414" s="323">
        <f t="shared" si="124"/>
        <v>319105</v>
      </c>
      <c r="P414" s="638">
        <f t="shared" si="134"/>
        <v>319105</v>
      </c>
      <c r="Q414" s="322">
        <v>6748</v>
      </c>
      <c r="R414" s="90">
        <f t="shared" si="138"/>
        <v>10636.833333333334</v>
      </c>
      <c r="S414" s="324">
        <f t="shared" si="125"/>
        <v>340764</v>
      </c>
      <c r="T414" s="638">
        <f t="shared" si="135"/>
        <v>340764</v>
      </c>
      <c r="U414" s="322">
        <v>7779</v>
      </c>
      <c r="V414" s="80">
        <f t="shared" si="139"/>
        <v>11358.8</v>
      </c>
      <c r="W414" s="79"/>
      <c r="X414" s="322"/>
      <c r="Y414" s="79"/>
      <c r="Z414" s="322"/>
      <c r="AA414" s="79"/>
      <c r="AB414" s="322"/>
      <c r="AC414" s="79"/>
      <c r="AD414" s="322"/>
      <c r="AE414" s="323">
        <f t="shared" si="126"/>
        <v>0</v>
      </c>
      <c r="AF414" s="638">
        <f t="shared" si="136"/>
        <v>0</v>
      </c>
      <c r="AG414" s="322"/>
      <c r="AH414" s="90">
        <f t="shared" si="127"/>
        <v>0</v>
      </c>
      <c r="AI414" s="80">
        <f t="shared" si="128"/>
        <v>0</v>
      </c>
      <c r="AJ414" s="638">
        <f t="shared" si="137"/>
        <v>0</v>
      </c>
      <c r="AK414" s="322"/>
      <c r="AL414" s="80">
        <f t="shared" si="129"/>
        <v>0</v>
      </c>
      <c r="AM414" s="79"/>
      <c r="AN414" s="322"/>
      <c r="AO414" s="79"/>
      <c r="AP414" s="322"/>
      <c r="AQ414" s="79"/>
      <c r="AR414" s="322"/>
      <c r="AS414" s="79"/>
      <c r="AT414" s="322"/>
      <c r="AU414" s="325">
        <f t="shared" si="130"/>
        <v>0</v>
      </c>
      <c r="AV414" s="90">
        <f t="shared" si="140"/>
        <v>0</v>
      </c>
      <c r="AW414" s="324">
        <f t="shared" si="131"/>
        <v>0</v>
      </c>
      <c r="AX414" s="80">
        <f t="shared" si="141"/>
        <v>0</v>
      </c>
      <c r="AY414" s="326">
        <f t="shared" si="132"/>
        <v>10636.833333333334</v>
      </c>
      <c r="AZ414" s="80">
        <f t="shared" si="133"/>
        <v>11358.8</v>
      </c>
    </row>
    <row r="415" spans="1:52">
      <c r="A415" s="91" t="s">
        <v>724</v>
      </c>
      <c r="B415" s="91" t="s">
        <v>242</v>
      </c>
      <c r="C415" s="394">
        <v>207281</v>
      </c>
      <c r="D415" s="346">
        <v>9</v>
      </c>
      <c r="E415" s="162" t="s">
        <v>442</v>
      </c>
      <c r="F415" s="163" t="s">
        <v>442</v>
      </c>
      <c r="G415" s="79"/>
      <c r="H415" s="322"/>
      <c r="I415" s="79">
        <v>49233</v>
      </c>
      <c r="J415" s="322">
        <v>46965</v>
      </c>
      <c r="K415" s="79">
        <v>7124</v>
      </c>
      <c r="L415" s="529">
        <v>7745</v>
      </c>
      <c r="M415" s="79">
        <v>48256</v>
      </c>
      <c r="N415" s="529">
        <v>49507</v>
      </c>
      <c r="O415" s="323">
        <f t="shared" si="124"/>
        <v>104613</v>
      </c>
      <c r="P415" s="638">
        <f t="shared" si="134"/>
        <v>104613</v>
      </c>
      <c r="Q415" s="322">
        <v>3113</v>
      </c>
      <c r="R415" s="90">
        <f t="shared" si="138"/>
        <v>3487.1</v>
      </c>
      <c r="S415" s="324">
        <f t="shared" si="125"/>
        <v>104217</v>
      </c>
      <c r="T415" s="638">
        <f t="shared" si="135"/>
        <v>104217</v>
      </c>
      <c r="U415" s="322">
        <v>3178</v>
      </c>
      <c r="V415" s="80">
        <f t="shared" si="139"/>
        <v>3473.9</v>
      </c>
      <c r="W415" s="79"/>
      <c r="X415" s="322"/>
      <c r="Y415" s="79"/>
      <c r="Z415" s="322"/>
      <c r="AA415" s="79"/>
      <c r="AB415" s="322"/>
      <c r="AC415" s="79"/>
      <c r="AD415" s="322"/>
      <c r="AE415" s="323">
        <f t="shared" si="126"/>
        <v>0</v>
      </c>
      <c r="AF415" s="638">
        <f t="shared" si="136"/>
        <v>0</v>
      </c>
      <c r="AG415" s="322"/>
      <c r="AH415" s="90">
        <f t="shared" si="127"/>
        <v>0</v>
      </c>
      <c r="AI415" s="80">
        <f t="shared" si="128"/>
        <v>0</v>
      </c>
      <c r="AJ415" s="638">
        <f t="shared" si="137"/>
        <v>0</v>
      </c>
      <c r="AK415" s="322"/>
      <c r="AL415" s="80">
        <f t="shared" si="129"/>
        <v>0</v>
      </c>
      <c r="AM415" s="79"/>
      <c r="AN415" s="322"/>
      <c r="AO415" s="79"/>
      <c r="AP415" s="322"/>
      <c r="AQ415" s="79"/>
      <c r="AR415" s="322"/>
      <c r="AS415" s="79"/>
      <c r="AT415" s="322"/>
      <c r="AU415" s="325">
        <f t="shared" si="130"/>
        <v>0</v>
      </c>
      <c r="AV415" s="90">
        <f t="shared" si="140"/>
        <v>0</v>
      </c>
      <c r="AW415" s="324">
        <f t="shared" si="131"/>
        <v>0</v>
      </c>
      <c r="AX415" s="80">
        <f t="shared" si="141"/>
        <v>0</v>
      </c>
      <c r="AY415" s="326">
        <f t="shared" si="132"/>
        <v>3487.1</v>
      </c>
      <c r="AZ415" s="80">
        <f t="shared" si="133"/>
        <v>3473.9</v>
      </c>
    </row>
    <row r="416" spans="1:52">
      <c r="A416" s="91" t="s">
        <v>724</v>
      </c>
      <c r="B416" s="91" t="s">
        <v>244</v>
      </c>
      <c r="C416" s="211">
        <v>207397</v>
      </c>
      <c r="D416" s="93">
        <v>9</v>
      </c>
      <c r="E416" s="162" t="s">
        <v>442</v>
      </c>
      <c r="F416" s="163" t="s">
        <v>442</v>
      </c>
      <c r="G416" s="79"/>
      <c r="H416" s="322"/>
      <c r="I416" s="79">
        <v>47458</v>
      </c>
      <c r="J416" s="322">
        <f>47781+227</f>
        <v>48008</v>
      </c>
      <c r="K416" s="79">
        <v>13166</v>
      </c>
      <c r="L416" s="322">
        <f>13305+135</f>
        <v>13440</v>
      </c>
      <c r="M416" s="79">
        <v>50418</v>
      </c>
      <c r="N416" s="529">
        <v>51716</v>
      </c>
      <c r="O416" s="323">
        <f t="shared" si="124"/>
        <v>111042</v>
      </c>
      <c r="P416" s="638">
        <f t="shared" si="134"/>
        <v>111042</v>
      </c>
      <c r="Q416" s="322">
        <v>3288</v>
      </c>
      <c r="R416" s="90">
        <f t="shared" si="138"/>
        <v>3701.4</v>
      </c>
      <c r="S416" s="324">
        <f t="shared" si="125"/>
        <v>113164</v>
      </c>
      <c r="T416" s="638">
        <f t="shared" si="135"/>
        <v>113164</v>
      </c>
      <c r="U416" s="322">
        <v>1454</v>
      </c>
      <c r="V416" s="80">
        <f t="shared" si="139"/>
        <v>3772.1333333333332</v>
      </c>
      <c r="W416" s="79"/>
      <c r="X416" s="322"/>
      <c r="Y416" s="79"/>
      <c r="Z416" s="322"/>
      <c r="AA416" s="79"/>
      <c r="AB416" s="322"/>
      <c r="AC416" s="79"/>
      <c r="AD416" s="322"/>
      <c r="AE416" s="323">
        <f t="shared" si="126"/>
        <v>0</v>
      </c>
      <c r="AF416" s="638">
        <f t="shared" si="136"/>
        <v>0</v>
      </c>
      <c r="AG416" s="322"/>
      <c r="AH416" s="90">
        <f t="shared" si="127"/>
        <v>0</v>
      </c>
      <c r="AI416" s="80">
        <f t="shared" si="128"/>
        <v>0</v>
      </c>
      <c r="AJ416" s="638">
        <f t="shared" si="137"/>
        <v>0</v>
      </c>
      <c r="AK416" s="322"/>
      <c r="AL416" s="80">
        <f t="shared" si="129"/>
        <v>0</v>
      </c>
      <c r="AM416" s="79"/>
      <c r="AN416" s="322"/>
      <c r="AO416" s="79"/>
      <c r="AP416" s="322"/>
      <c r="AQ416" s="79"/>
      <c r="AR416" s="322"/>
      <c r="AS416" s="79"/>
      <c r="AT416" s="322"/>
      <c r="AU416" s="325">
        <f t="shared" si="130"/>
        <v>0</v>
      </c>
      <c r="AV416" s="90">
        <f t="shared" si="140"/>
        <v>0</v>
      </c>
      <c r="AW416" s="324">
        <f t="shared" si="131"/>
        <v>0</v>
      </c>
      <c r="AX416" s="80">
        <f t="shared" si="141"/>
        <v>0</v>
      </c>
      <c r="AY416" s="326">
        <f t="shared" si="132"/>
        <v>3701.4</v>
      </c>
      <c r="AZ416" s="80">
        <f t="shared" si="133"/>
        <v>3772.1333333333332</v>
      </c>
    </row>
    <row r="417" spans="1:52">
      <c r="A417" s="91" t="s">
        <v>724</v>
      </c>
      <c r="B417" s="91" t="s">
        <v>245</v>
      </c>
      <c r="C417" s="211">
        <v>207670</v>
      </c>
      <c r="D417" s="93">
        <v>9</v>
      </c>
      <c r="E417" s="162" t="s">
        <v>442</v>
      </c>
      <c r="F417" s="163" t="s">
        <v>442</v>
      </c>
      <c r="G417" s="79"/>
      <c r="H417" s="322"/>
      <c r="I417" s="79">
        <v>62092</v>
      </c>
      <c r="J417" s="322">
        <v>59638</v>
      </c>
      <c r="K417" s="79">
        <v>14933</v>
      </c>
      <c r="L417" s="322">
        <v>14675</v>
      </c>
      <c r="M417" s="79">
        <v>69259</v>
      </c>
      <c r="N417" s="529">
        <v>65638</v>
      </c>
      <c r="O417" s="323">
        <f t="shared" si="124"/>
        <v>146284</v>
      </c>
      <c r="P417" s="638">
        <f t="shared" si="134"/>
        <v>146284</v>
      </c>
      <c r="Q417" s="322">
        <v>2454</v>
      </c>
      <c r="R417" s="90">
        <f t="shared" si="138"/>
        <v>4876.1333333333332</v>
      </c>
      <c r="S417" s="324">
        <f t="shared" si="125"/>
        <v>139951</v>
      </c>
      <c r="T417" s="638">
        <f t="shared" si="135"/>
        <v>139951</v>
      </c>
      <c r="U417" s="322">
        <v>2830</v>
      </c>
      <c r="V417" s="80">
        <f t="shared" si="139"/>
        <v>4665.0333333333338</v>
      </c>
      <c r="W417" s="79"/>
      <c r="X417" s="322"/>
      <c r="Y417" s="79"/>
      <c r="Z417" s="322"/>
      <c r="AA417" s="79"/>
      <c r="AB417" s="322"/>
      <c r="AC417" s="79"/>
      <c r="AD417" s="322"/>
      <c r="AE417" s="323">
        <f t="shared" si="126"/>
        <v>0</v>
      </c>
      <c r="AF417" s="638">
        <f t="shared" si="136"/>
        <v>0</v>
      </c>
      <c r="AG417" s="322"/>
      <c r="AH417" s="90">
        <f t="shared" si="127"/>
        <v>0</v>
      </c>
      <c r="AI417" s="80">
        <f t="shared" si="128"/>
        <v>0</v>
      </c>
      <c r="AJ417" s="638">
        <f t="shared" si="137"/>
        <v>0</v>
      </c>
      <c r="AK417" s="322"/>
      <c r="AL417" s="80">
        <f t="shared" si="129"/>
        <v>0</v>
      </c>
      <c r="AM417" s="79"/>
      <c r="AN417" s="322"/>
      <c r="AO417" s="79"/>
      <c r="AP417" s="322"/>
      <c r="AQ417" s="79"/>
      <c r="AR417" s="322"/>
      <c r="AS417" s="79"/>
      <c r="AT417" s="322"/>
      <c r="AU417" s="325">
        <f t="shared" si="130"/>
        <v>0</v>
      </c>
      <c r="AV417" s="90">
        <f t="shared" si="140"/>
        <v>0</v>
      </c>
      <c r="AW417" s="324">
        <f t="shared" si="131"/>
        <v>0</v>
      </c>
      <c r="AX417" s="80">
        <f t="shared" si="141"/>
        <v>0</v>
      </c>
      <c r="AY417" s="326">
        <f t="shared" si="132"/>
        <v>4876.1333333333332</v>
      </c>
      <c r="AZ417" s="80">
        <f t="shared" si="133"/>
        <v>4665.0333333333338</v>
      </c>
    </row>
    <row r="418" spans="1:52">
      <c r="A418" s="91" t="s">
        <v>724</v>
      </c>
      <c r="B418" s="91" t="s">
        <v>246</v>
      </c>
      <c r="C418" s="211">
        <v>206923</v>
      </c>
      <c r="D418" s="93">
        <v>10</v>
      </c>
      <c r="E418" s="162" t="s">
        <v>442</v>
      </c>
      <c r="F418" s="163" t="s">
        <v>442</v>
      </c>
      <c r="G418" s="79"/>
      <c r="H418" s="322"/>
      <c r="I418" s="79">
        <v>23946</v>
      </c>
      <c r="J418" s="322">
        <v>23423</v>
      </c>
      <c r="K418" s="79">
        <v>4716</v>
      </c>
      <c r="L418" s="322">
        <v>4627</v>
      </c>
      <c r="M418" s="79">
        <v>25631</v>
      </c>
      <c r="N418" s="529">
        <v>25544</v>
      </c>
      <c r="O418" s="323">
        <f t="shared" si="124"/>
        <v>54293</v>
      </c>
      <c r="P418" s="638">
        <f t="shared" si="134"/>
        <v>54293</v>
      </c>
      <c r="Q418" s="322">
        <v>1741</v>
      </c>
      <c r="R418" s="90">
        <f t="shared" si="138"/>
        <v>1809.7666666666667</v>
      </c>
      <c r="S418" s="324">
        <f t="shared" si="125"/>
        <v>53594</v>
      </c>
      <c r="T418" s="638">
        <f t="shared" si="135"/>
        <v>53594</v>
      </c>
      <c r="U418" s="322">
        <v>422</v>
      </c>
      <c r="V418" s="80">
        <f t="shared" si="139"/>
        <v>1786.4666666666667</v>
      </c>
      <c r="W418" s="79"/>
      <c r="X418" s="322"/>
      <c r="Y418" s="79"/>
      <c r="Z418" s="322"/>
      <c r="AA418" s="79"/>
      <c r="AB418" s="322"/>
      <c r="AC418" s="79"/>
      <c r="AD418" s="322"/>
      <c r="AE418" s="323">
        <f t="shared" si="126"/>
        <v>0</v>
      </c>
      <c r="AF418" s="638">
        <f t="shared" si="136"/>
        <v>0</v>
      </c>
      <c r="AG418" s="322"/>
      <c r="AH418" s="90">
        <f t="shared" si="127"/>
        <v>0</v>
      </c>
      <c r="AI418" s="80">
        <f t="shared" si="128"/>
        <v>0</v>
      </c>
      <c r="AJ418" s="638">
        <f t="shared" si="137"/>
        <v>0</v>
      </c>
      <c r="AK418" s="322"/>
      <c r="AL418" s="80">
        <f t="shared" si="129"/>
        <v>0</v>
      </c>
      <c r="AM418" s="79"/>
      <c r="AN418" s="322"/>
      <c r="AO418" s="79"/>
      <c r="AP418" s="322"/>
      <c r="AQ418" s="79"/>
      <c r="AR418" s="322"/>
      <c r="AS418" s="79"/>
      <c r="AT418" s="322"/>
      <c r="AU418" s="325">
        <f t="shared" si="130"/>
        <v>0</v>
      </c>
      <c r="AV418" s="90">
        <f t="shared" si="140"/>
        <v>0</v>
      </c>
      <c r="AW418" s="324">
        <f t="shared" si="131"/>
        <v>0</v>
      </c>
      <c r="AX418" s="80">
        <f t="shared" si="141"/>
        <v>0</v>
      </c>
      <c r="AY418" s="326">
        <f t="shared" si="132"/>
        <v>1809.7666666666667</v>
      </c>
      <c r="AZ418" s="80">
        <f t="shared" si="133"/>
        <v>1786.4666666666667</v>
      </c>
    </row>
    <row r="419" spans="1:52">
      <c r="A419" s="91" t="s">
        <v>724</v>
      </c>
      <c r="B419" s="91" t="s">
        <v>247</v>
      </c>
      <c r="C419" s="211">
        <v>206996</v>
      </c>
      <c r="D419" s="93">
        <v>10</v>
      </c>
      <c r="E419" s="162" t="s">
        <v>442</v>
      </c>
      <c r="F419" s="163" t="s">
        <v>442</v>
      </c>
      <c r="G419" s="79"/>
      <c r="H419" s="322"/>
      <c r="I419" s="79">
        <v>20494</v>
      </c>
      <c r="J419" s="322">
        <v>21306</v>
      </c>
      <c r="K419" s="79">
        <v>4186</v>
      </c>
      <c r="L419" s="322">
        <v>3849</v>
      </c>
      <c r="M419" s="79">
        <v>24703</v>
      </c>
      <c r="N419" s="322">
        <v>24410</v>
      </c>
      <c r="O419" s="323">
        <f t="shared" si="124"/>
        <v>49383</v>
      </c>
      <c r="P419" s="638">
        <f t="shared" si="134"/>
        <v>49383</v>
      </c>
      <c r="Q419" s="322">
        <v>1237</v>
      </c>
      <c r="R419" s="90">
        <f t="shared" si="138"/>
        <v>1646.1</v>
      </c>
      <c r="S419" s="324">
        <f t="shared" si="125"/>
        <v>49565</v>
      </c>
      <c r="T419" s="638">
        <f t="shared" si="135"/>
        <v>49565</v>
      </c>
      <c r="U419" s="322">
        <v>1269</v>
      </c>
      <c r="V419" s="80">
        <f t="shared" si="139"/>
        <v>1652.1666666666667</v>
      </c>
      <c r="W419" s="79"/>
      <c r="X419" s="322"/>
      <c r="Y419" s="79"/>
      <c r="Z419" s="322"/>
      <c r="AA419" s="79"/>
      <c r="AB419" s="322"/>
      <c r="AC419" s="79"/>
      <c r="AD419" s="322"/>
      <c r="AE419" s="323">
        <f t="shared" si="126"/>
        <v>0</v>
      </c>
      <c r="AF419" s="638">
        <f t="shared" si="136"/>
        <v>0</v>
      </c>
      <c r="AG419" s="322"/>
      <c r="AH419" s="90">
        <f t="shared" si="127"/>
        <v>0</v>
      </c>
      <c r="AI419" s="80">
        <f t="shared" si="128"/>
        <v>0</v>
      </c>
      <c r="AJ419" s="638">
        <f t="shared" si="137"/>
        <v>0</v>
      </c>
      <c r="AK419" s="322"/>
      <c r="AL419" s="80">
        <f t="shared" si="129"/>
        <v>0</v>
      </c>
      <c r="AM419" s="79"/>
      <c r="AN419" s="322"/>
      <c r="AO419" s="79"/>
      <c r="AP419" s="322"/>
      <c r="AQ419" s="79"/>
      <c r="AR419" s="322"/>
      <c r="AS419" s="79"/>
      <c r="AT419" s="322"/>
      <c r="AU419" s="325">
        <f t="shared" si="130"/>
        <v>0</v>
      </c>
      <c r="AV419" s="90">
        <f t="shared" si="140"/>
        <v>0</v>
      </c>
      <c r="AW419" s="324">
        <f t="shared" si="131"/>
        <v>0</v>
      </c>
      <c r="AX419" s="80">
        <f t="shared" si="141"/>
        <v>0</v>
      </c>
      <c r="AY419" s="326">
        <f t="shared" si="132"/>
        <v>1646.1</v>
      </c>
      <c r="AZ419" s="80">
        <f t="shared" si="133"/>
        <v>1652.1666666666667</v>
      </c>
    </row>
    <row r="420" spans="1:52">
      <c r="A420" s="91" t="s">
        <v>724</v>
      </c>
      <c r="B420" s="91" t="s">
        <v>248</v>
      </c>
      <c r="C420" s="211">
        <v>207050</v>
      </c>
      <c r="D420" s="93">
        <v>10</v>
      </c>
      <c r="E420" s="162" t="s">
        <v>442</v>
      </c>
      <c r="F420" s="163" t="s">
        <v>442</v>
      </c>
      <c r="G420" s="79"/>
      <c r="H420" s="322"/>
      <c r="I420" s="79">
        <v>16959</v>
      </c>
      <c r="J420" s="322">
        <v>17075</v>
      </c>
      <c r="K420" s="79">
        <v>2627</v>
      </c>
      <c r="L420" s="529">
        <v>3031</v>
      </c>
      <c r="M420" s="79">
        <v>18645</v>
      </c>
      <c r="N420" s="529">
        <v>19289</v>
      </c>
      <c r="O420" s="323">
        <f t="shared" si="124"/>
        <v>38231</v>
      </c>
      <c r="P420" s="638">
        <f t="shared" si="134"/>
        <v>38231</v>
      </c>
      <c r="Q420" s="322">
        <v>1193</v>
      </c>
      <c r="R420" s="90">
        <f t="shared" si="138"/>
        <v>1274.3666666666666</v>
      </c>
      <c r="S420" s="324">
        <f t="shared" si="125"/>
        <v>39395</v>
      </c>
      <c r="T420" s="638">
        <f t="shared" si="135"/>
        <v>39395</v>
      </c>
      <c r="U420" s="322">
        <v>1203</v>
      </c>
      <c r="V420" s="80">
        <f t="shared" si="139"/>
        <v>1313.1666666666667</v>
      </c>
      <c r="W420" s="79"/>
      <c r="X420" s="322"/>
      <c r="Y420" s="79"/>
      <c r="Z420" s="322"/>
      <c r="AA420" s="79"/>
      <c r="AB420" s="322"/>
      <c r="AC420" s="79"/>
      <c r="AD420" s="322"/>
      <c r="AE420" s="323">
        <f t="shared" si="126"/>
        <v>0</v>
      </c>
      <c r="AF420" s="638">
        <f t="shared" si="136"/>
        <v>0</v>
      </c>
      <c r="AG420" s="322"/>
      <c r="AH420" s="90">
        <f t="shared" si="127"/>
        <v>0</v>
      </c>
      <c r="AI420" s="80">
        <f t="shared" si="128"/>
        <v>0</v>
      </c>
      <c r="AJ420" s="638">
        <f t="shared" si="137"/>
        <v>0</v>
      </c>
      <c r="AK420" s="322"/>
      <c r="AL420" s="80">
        <f t="shared" si="129"/>
        <v>0</v>
      </c>
      <c r="AM420" s="79"/>
      <c r="AN420" s="322"/>
      <c r="AO420" s="79"/>
      <c r="AP420" s="322"/>
      <c r="AQ420" s="79"/>
      <c r="AR420" s="322"/>
      <c r="AS420" s="79"/>
      <c r="AT420" s="322"/>
      <c r="AU420" s="325">
        <f t="shared" si="130"/>
        <v>0</v>
      </c>
      <c r="AV420" s="90">
        <f t="shared" si="140"/>
        <v>0</v>
      </c>
      <c r="AW420" s="324">
        <f t="shared" si="131"/>
        <v>0</v>
      </c>
      <c r="AX420" s="80">
        <f t="shared" si="141"/>
        <v>0</v>
      </c>
      <c r="AY420" s="326">
        <f t="shared" si="132"/>
        <v>1274.3666666666666</v>
      </c>
      <c r="AZ420" s="80">
        <f t="shared" si="133"/>
        <v>1313.1666666666667</v>
      </c>
    </row>
    <row r="421" spans="1:52">
      <c r="A421" s="91" t="s">
        <v>724</v>
      </c>
      <c r="B421" s="91" t="s">
        <v>249</v>
      </c>
      <c r="C421" s="211">
        <v>207236</v>
      </c>
      <c r="D421" s="93">
        <v>10</v>
      </c>
      <c r="E421" s="162" t="s">
        <v>442</v>
      </c>
      <c r="F421" s="163" t="s">
        <v>442</v>
      </c>
      <c r="G421" s="79"/>
      <c r="H421" s="322"/>
      <c r="I421" s="79">
        <v>22936</v>
      </c>
      <c r="J421" s="322">
        <v>23182</v>
      </c>
      <c r="K421" s="79">
        <v>3764</v>
      </c>
      <c r="L421" s="322">
        <v>3683</v>
      </c>
      <c r="M421" s="79">
        <v>22275</v>
      </c>
      <c r="N421" s="529">
        <v>24045</v>
      </c>
      <c r="O421" s="323">
        <f t="shared" si="124"/>
        <v>48975</v>
      </c>
      <c r="P421" s="638">
        <f t="shared" si="134"/>
        <v>48975</v>
      </c>
      <c r="Q421" s="322">
        <v>2551</v>
      </c>
      <c r="R421" s="90">
        <f t="shared" si="138"/>
        <v>1632.5</v>
      </c>
      <c r="S421" s="324">
        <f t="shared" si="125"/>
        <v>50910</v>
      </c>
      <c r="T421" s="638">
        <f t="shared" si="135"/>
        <v>50910</v>
      </c>
      <c r="U421" s="322">
        <v>3003</v>
      </c>
      <c r="V421" s="80">
        <f t="shared" si="139"/>
        <v>1697</v>
      </c>
      <c r="W421" s="79"/>
      <c r="X421" s="322"/>
      <c r="Y421" s="79"/>
      <c r="Z421" s="322"/>
      <c r="AA421" s="79"/>
      <c r="AB421" s="322"/>
      <c r="AC421" s="79"/>
      <c r="AD421" s="322"/>
      <c r="AE421" s="323">
        <f t="shared" si="126"/>
        <v>0</v>
      </c>
      <c r="AF421" s="638">
        <f t="shared" si="136"/>
        <v>0</v>
      </c>
      <c r="AG421" s="322"/>
      <c r="AH421" s="90">
        <f t="shared" si="127"/>
        <v>0</v>
      </c>
      <c r="AI421" s="80">
        <f t="shared" si="128"/>
        <v>0</v>
      </c>
      <c r="AJ421" s="638">
        <f t="shared" si="137"/>
        <v>0</v>
      </c>
      <c r="AK421" s="322"/>
      <c r="AL421" s="80">
        <f t="shared" si="129"/>
        <v>0</v>
      </c>
      <c r="AM421" s="79"/>
      <c r="AN421" s="322"/>
      <c r="AO421" s="79"/>
      <c r="AP421" s="322"/>
      <c r="AQ421" s="79"/>
      <c r="AR421" s="322"/>
      <c r="AS421" s="79"/>
      <c r="AT421" s="322"/>
      <c r="AU421" s="325">
        <f t="shared" si="130"/>
        <v>0</v>
      </c>
      <c r="AV421" s="90">
        <f t="shared" si="140"/>
        <v>0</v>
      </c>
      <c r="AW421" s="324">
        <f t="shared" si="131"/>
        <v>0</v>
      </c>
      <c r="AX421" s="80">
        <f t="shared" si="141"/>
        <v>0</v>
      </c>
      <c r="AY421" s="326">
        <f t="shared" si="132"/>
        <v>1632.5</v>
      </c>
      <c r="AZ421" s="80">
        <f t="shared" si="133"/>
        <v>1697</v>
      </c>
    </row>
    <row r="422" spans="1:52">
      <c r="A422" s="91" t="s">
        <v>724</v>
      </c>
      <c r="B422" s="91" t="s">
        <v>250</v>
      </c>
      <c r="C422" s="211">
        <v>207290</v>
      </c>
      <c r="D422" s="93">
        <v>10</v>
      </c>
      <c r="E422" s="162" t="s">
        <v>442</v>
      </c>
      <c r="F422" s="163" t="s">
        <v>442</v>
      </c>
      <c r="G422" s="79"/>
      <c r="H422" s="322"/>
      <c r="I422" s="79">
        <v>20664</v>
      </c>
      <c r="J422" s="322">
        <v>19302</v>
      </c>
      <c r="K422" s="79"/>
      <c r="L422" s="322">
        <v>3161</v>
      </c>
      <c r="M422" s="79">
        <v>23942</v>
      </c>
      <c r="N422" s="529">
        <v>23052</v>
      </c>
      <c r="O422" s="323">
        <f t="shared" si="124"/>
        <v>44606</v>
      </c>
      <c r="P422" s="638">
        <f t="shared" si="134"/>
        <v>44606</v>
      </c>
      <c r="Q422" s="322">
        <v>1029</v>
      </c>
      <c r="R422" s="90">
        <f t="shared" si="138"/>
        <v>1486.8666666666666</v>
      </c>
      <c r="S422" s="324">
        <f t="shared" si="125"/>
        <v>45515</v>
      </c>
      <c r="T422" s="638">
        <f t="shared" si="135"/>
        <v>45515</v>
      </c>
      <c r="U422" s="322">
        <v>1056</v>
      </c>
      <c r="V422" s="80">
        <f t="shared" si="139"/>
        <v>1517.1666666666667</v>
      </c>
      <c r="W422" s="79"/>
      <c r="X422" s="322"/>
      <c r="Y422" s="79"/>
      <c r="Z422" s="322"/>
      <c r="AA422" s="79"/>
      <c r="AB422" s="322"/>
      <c r="AC422" s="79"/>
      <c r="AD422" s="322"/>
      <c r="AE422" s="323">
        <f t="shared" si="126"/>
        <v>0</v>
      </c>
      <c r="AF422" s="638">
        <f t="shared" si="136"/>
        <v>0</v>
      </c>
      <c r="AG422" s="322"/>
      <c r="AH422" s="90">
        <f t="shared" si="127"/>
        <v>0</v>
      </c>
      <c r="AI422" s="80">
        <f t="shared" si="128"/>
        <v>0</v>
      </c>
      <c r="AJ422" s="638">
        <f t="shared" si="137"/>
        <v>0</v>
      </c>
      <c r="AK422" s="322"/>
      <c r="AL422" s="80">
        <f t="shared" si="129"/>
        <v>0</v>
      </c>
      <c r="AM422" s="79"/>
      <c r="AN422" s="322"/>
      <c r="AO422" s="79"/>
      <c r="AP422" s="322"/>
      <c r="AQ422" s="79"/>
      <c r="AR422" s="322"/>
      <c r="AS422" s="79"/>
      <c r="AT422" s="322"/>
      <c r="AU422" s="325">
        <f t="shared" si="130"/>
        <v>0</v>
      </c>
      <c r="AV422" s="90">
        <f t="shared" si="140"/>
        <v>0</v>
      </c>
      <c r="AW422" s="324">
        <f t="shared" si="131"/>
        <v>0</v>
      </c>
      <c r="AX422" s="80">
        <f t="shared" si="141"/>
        <v>0</v>
      </c>
      <c r="AY422" s="326">
        <f t="shared" si="132"/>
        <v>1486.8666666666666</v>
      </c>
      <c r="AZ422" s="80">
        <f t="shared" si="133"/>
        <v>1517.1666666666667</v>
      </c>
    </row>
    <row r="423" spans="1:52">
      <c r="A423" s="91" t="s">
        <v>724</v>
      </c>
      <c r="B423" s="91" t="s">
        <v>251</v>
      </c>
      <c r="C423" s="211">
        <v>207069</v>
      </c>
      <c r="D423" s="93">
        <v>10</v>
      </c>
      <c r="E423" s="162" t="s">
        <v>442</v>
      </c>
      <c r="F423" s="163" t="s">
        <v>442</v>
      </c>
      <c r="G423" s="79"/>
      <c r="H423" s="322"/>
      <c r="I423" s="79">
        <v>18709</v>
      </c>
      <c r="J423" s="322">
        <v>18306</v>
      </c>
      <c r="K423" s="79">
        <v>4093</v>
      </c>
      <c r="L423" s="322">
        <v>3829</v>
      </c>
      <c r="M423" s="79">
        <v>20683</v>
      </c>
      <c r="N423" s="529">
        <v>20265</v>
      </c>
      <c r="O423" s="323">
        <f t="shared" si="124"/>
        <v>43485</v>
      </c>
      <c r="P423" s="638">
        <f t="shared" si="134"/>
        <v>43485</v>
      </c>
      <c r="Q423" s="322">
        <v>3975</v>
      </c>
      <c r="R423" s="90">
        <f t="shared" si="138"/>
        <v>1449.5</v>
      </c>
      <c r="S423" s="324">
        <f t="shared" si="125"/>
        <v>42400</v>
      </c>
      <c r="T423" s="638">
        <f t="shared" si="135"/>
        <v>42400</v>
      </c>
      <c r="U423" s="322">
        <v>5384</v>
      </c>
      <c r="V423" s="80">
        <f t="shared" si="139"/>
        <v>1413.3333333333333</v>
      </c>
      <c r="W423" s="79"/>
      <c r="X423" s="322"/>
      <c r="Y423" s="79"/>
      <c r="Z423" s="322"/>
      <c r="AA423" s="79"/>
      <c r="AB423" s="322"/>
      <c r="AC423" s="79"/>
      <c r="AD423" s="322"/>
      <c r="AE423" s="323">
        <f t="shared" si="126"/>
        <v>0</v>
      </c>
      <c r="AF423" s="638">
        <f t="shared" si="136"/>
        <v>0</v>
      </c>
      <c r="AG423" s="322"/>
      <c r="AH423" s="90">
        <f t="shared" si="127"/>
        <v>0</v>
      </c>
      <c r="AI423" s="80">
        <f t="shared" si="128"/>
        <v>0</v>
      </c>
      <c r="AJ423" s="638">
        <f t="shared" si="137"/>
        <v>0</v>
      </c>
      <c r="AK423" s="322"/>
      <c r="AL423" s="80">
        <f t="shared" si="129"/>
        <v>0</v>
      </c>
      <c r="AM423" s="79"/>
      <c r="AN423" s="322"/>
      <c r="AO423" s="79"/>
      <c r="AP423" s="322"/>
      <c r="AQ423" s="79"/>
      <c r="AR423" s="322"/>
      <c r="AS423" s="79"/>
      <c r="AT423" s="322"/>
      <c r="AU423" s="325">
        <f t="shared" si="130"/>
        <v>0</v>
      </c>
      <c r="AV423" s="90">
        <f t="shared" si="140"/>
        <v>0</v>
      </c>
      <c r="AW423" s="324">
        <f t="shared" si="131"/>
        <v>0</v>
      </c>
      <c r="AX423" s="80">
        <f t="shared" si="141"/>
        <v>0</v>
      </c>
      <c r="AY423" s="326">
        <f t="shared" si="132"/>
        <v>1449.5</v>
      </c>
      <c r="AZ423" s="80">
        <f t="shared" si="133"/>
        <v>1413.3333333333333</v>
      </c>
    </row>
    <row r="424" spans="1:52">
      <c r="A424" s="91" t="s">
        <v>724</v>
      </c>
      <c r="B424" s="91" t="s">
        <v>252</v>
      </c>
      <c r="C424" s="211">
        <v>207740</v>
      </c>
      <c r="D424" s="93">
        <v>10</v>
      </c>
      <c r="E424" s="162" t="s">
        <v>442</v>
      </c>
      <c r="F424" s="163" t="s">
        <v>442</v>
      </c>
      <c r="G424" s="79"/>
      <c r="H424" s="322"/>
      <c r="I424" s="79">
        <v>18891</v>
      </c>
      <c r="J424" s="322">
        <v>18523</v>
      </c>
      <c r="K424" s="79">
        <v>3219</v>
      </c>
      <c r="L424" s="322">
        <v>2924</v>
      </c>
      <c r="M424" s="79">
        <v>19245</v>
      </c>
      <c r="N424" s="529">
        <v>21181</v>
      </c>
      <c r="O424" s="323">
        <f t="shared" si="124"/>
        <v>41355</v>
      </c>
      <c r="P424" s="638">
        <f t="shared" si="134"/>
        <v>41355</v>
      </c>
      <c r="Q424" s="322">
        <v>1367</v>
      </c>
      <c r="R424" s="90">
        <f t="shared" si="138"/>
        <v>1378.5</v>
      </c>
      <c r="S424" s="324">
        <f t="shared" si="125"/>
        <v>42628</v>
      </c>
      <c r="T424" s="638">
        <f t="shared" si="135"/>
        <v>42628</v>
      </c>
      <c r="U424" s="322">
        <v>1634</v>
      </c>
      <c r="V424" s="80">
        <f t="shared" si="139"/>
        <v>1420.9333333333334</v>
      </c>
      <c r="W424" s="79"/>
      <c r="X424" s="322"/>
      <c r="Y424" s="79"/>
      <c r="Z424" s="322"/>
      <c r="AA424" s="79"/>
      <c r="AB424" s="322"/>
      <c r="AC424" s="79"/>
      <c r="AD424" s="322"/>
      <c r="AE424" s="323">
        <f t="shared" si="126"/>
        <v>0</v>
      </c>
      <c r="AF424" s="638">
        <f t="shared" si="136"/>
        <v>0</v>
      </c>
      <c r="AG424" s="322"/>
      <c r="AH424" s="90">
        <f t="shared" si="127"/>
        <v>0</v>
      </c>
      <c r="AI424" s="80">
        <f t="shared" si="128"/>
        <v>0</v>
      </c>
      <c r="AJ424" s="638">
        <f t="shared" si="137"/>
        <v>0</v>
      </c>
      <c r="AK424" s="322"/>
      <c r="AL424" s="80">
        <f t="shared" si="129"/>
        <v>0</v>
      </c>
      <c r="AM424" s="79"/>
      <c r="AN424" s="322"/>
      <c r="AO424" s="79"/>
      <c r="AP424" s="322"/>
      <c r="AQ424" s="79"/>
      <c r="AR424" s="322"/>
      <c r="AS424" s="79"/>
      <c r="AT424" s="322"/>
      <c r="AU424" s="325">
        <f t="shared" si="130"/>
        <v>0</v>
      </c>
      <c r="AV424" s="90">
        <f t="shared" si="140"/>
        <v>0</v>
      </c>
      <c r="AW424" s="324">
        <f t="shared" si="131"/>
        <v>0</v>
      </c>
      <c r="AX424" s="80">
        <f t="shared" si="141"/>
        <v>0</v>
      </c>
      <c r="AY424" s="326">
        <f t="shared" si="132"/>
        <v>1378.5</v>
      </c>
      <c r="AZ424" s="80">
        <f t="shared" si="133"/>
        <v>1420.9333333333334</v>
      </c>
    </row>
    <row r="425" spans="1:52">
      <c r="A425" s="91" t="s">
        <v>724</v>
      </c>
      <c r="B425" s="91" t="s">
        <v>253</v>
      </c>
      <c r="C425" s="211">
        <v>208035</v>
      </c>
      <c r="D425" s="93">
        <v>10</v>
      </c>
      <c r="E425" s="162" t="s">
        <v>442</v>
      </c>
      <c r="F425" s="163" t="s">
        <v>442</v>
      </c>
      <c r="G425" s="79"/>
      <c r="H425" s="322"/>
      <c r="I425" s="79">
        <v>16139</v>
      </c>
      <c r="J425" s="322">
        <v>15299</v>
      </c>
      <c r="K425" s="79">
        <v>3814</v>
      </c>
      <c r="L425" s="322">
        <v>3068</v>
      </c>
      <c r="M425" s="79">
        <v>14522</v>
      </c>
      <c r="N425" s="529">
        <v>19849</v>
      </c>
      <c r="O425" s="323">
        <f t="shared" si="124"/>
        <v>34475</v>
      </c>
      <c r="P425" s="638">
        <f t="shared" si="134"/>
        <v>34475</v>
      </c>
      <c r="Q425" s="322">
        <v>1281</v>
      </c>
      <c r="R425" s="90">
        <f t="shared" si="138"/>
        <v>1149.1666666666667</v>
      </c>
      <c r="S425" s="324">
        <f t="shared" si="125"/>
        <v>38216</v>
      </c>
      <c r="T425" s="638">
        <f t="shared" si="135"/>
        <v>38216</v>
      </c>
      <c r="U425" s="322">
        <v>1397</v>
      </c>
      <c r="V425" s="80">
        <f t="shared" si="139"/>
        <v>1273.8666666666666</v>
      </c>
      <c r="W425" s="79"/>
      <c r="X425" s="322"/>
      <c r="Y425" s="79"/>
      <c r="Z425" s="322"/>
      <c r="AA425" s="79"/>
      <c r="AB425" s="322"/>
      <c r="AC425" s="79"/>
      <c r="AD425" s="322"/>
      <c r="AE425" s="323">
        <f t="shared" si="126"/>
        <v>0</v>
      </c>
      <c r="AF425" s="638">
        <f t="shared" si="136"/>
        <v>0</v>
      </c>
      <c r="AG425" s="322"/>
      <c r="AH425" s="90">
        <f t="shared" si="127"/>
        <v>0</v>
      </c>
      <c r="AI425" s="80">
        <f t="shared" si="128"/>
        <v>0</v>
      </c>
      <c r="AJ425" s="638">
        <f t="shared" si="137"/>
        <v>0</v>
      </c>
      <c r="AK425" s="322"/>
      <c r="AL425" s="80">
        <f t="shared" si="129"/>
        <v>0</v>
      </c>
      <c r="AM425" s="79"/>
      <c r="AN425" s="322"/>
      <c r="AO425" s="79"/>
      <c r="AP425" s="322"/>
      <c r="AQ425" s="79"/>
      <c r="AR425" s="322"/>
      <c r="AS425" s="79"/>
      <c r="AT425" s="322"/>
      <c r="AU425" s="325">
        <f t="shared" si="130"/>
        <v>0</v>
      </c>
      <c r="AV425" s="90">
        <f t="shared" si="140"/>
        <v>0</v>
      </c>
      <c r="AW425" s="324">
        <f t="shared" si="131"/>
        <v>0</v>
      </c>
      <c r="AX425" s="80">
        <f t="shared" si="141"/>
        <v>0</v>
      </c>
      <c r="AY425" s="326">
        <f t="shared" si="132"/>
        <v>1149.1666666666667</v>
      </c>
      <c r="AZ425" s="80">
        <f t="shared" si="133"/>
        <v>1273.8666666666666</v>
      </c>
    </row>
    <row r="426" spans="1:52">
      <c r="A426" s="174" t="s">
        <v>724</v>
      </c>
      <c r="B426" s="174" t="s">
        <v>725</v>
      </c>
      <c r="C426" s="175">
        <v>245999</v>
      </c>
      <c r="D426" s="345">
        <v>12</v>
      </c>
      <c r="E426" s="162" t="s">
        <v>442</v>
      </c>
      <c r="F426" s="163" t="s">
        <v>442</v>
      </c>
      <c r="G426" s="79"/>
      <c r="H426" s="322"/>
      <c r="I426" s="79"/>
      <c r="J426" s="322"/>
      <c r="K426" s="79"/>
      <c r="L426" s="322"/>
      <c r="M426" s="79"/>
      <c r="N426" s="322"/>
      <c r="O426" s="323">
        <f t="shared" si="124"/>
        <v>0</v>
      </c>
      <c r="P426" s="638">
        <f t="shared" si="134"/>
        <v>0</v>
      </c>
      <c r="Q426" s="322"/>
      <c r="R426" s="90">
        <f t="shared" si="138"/>
        <v>0</v>
      </c>
      <c r="S426" s="324">
        <f t="shared" si="125"/>
        <v>0</v>
      </c>
      <c r="T426" s="638">
        <f t="shared" si="135"/>
        <v>0</v>
      </c>
      <c r="U426" s="322"/>
      <c r="V426" s="80">
        <f t="shared" si="139"/>
        <v>0</v>
      </c>
      <c r="W426" s="79"/>
      <c r="X426" s="322"/>
      <c r="Y426" s="79"/>
      <c r="Z426" s="322"/>
      <c r="AA426" s="79"/>
      <c r="AB426" s="322"/>
      <c r="AC426" s="79">
        <v>1802964.82</v>
      </c>
      <c r="AD426" s="322">
        <v>1856749.05</v>
      </c>
      <c r="AE426" s="323">
        <f t="shared" si="126"/>
        <v>1802964.82</v>
      </c>
      <c r="AF426" s="638">
        <f t="shared" si="136"/>
        <v>0</v>
      </c>
      <c r="AG426" s="639" t="s">
        <v>949</v>
      </c>
      <c r="AH426" s="90">
        <f t="shared" si="127"/>
        <v>2003.2942444444445</v>
      </c>
      <c r="AI426" s="80">
        <f t="shared" si="128"/>
        <v>1856749.05</v>
      </c>
      <c r="AJ426" s="638">
        <f t="shared" si="137"/>
        <v>0</v>
      </c>
      <c r="AK426" s="639" t="s">
        <v>949</v>
      </c>
      <c r="AL426" s="80">
        <f t="shared" si="129"/>
        <v>2063.0545000000002</v>
      </c>
      <c r="AM426" s="79"/>
      <c r="AN426" s="322"/>
      <c r="AO426" s="79"/>
      <c r="AP426" s="322"/>
      <c r="AQ426" s="79"/>
      <c r="AR426" s="322"/>
      <c r="AS426" s="79"/>
      <c r="AT426" s="322"/>
      <c r="AU426" s="325">
        <f t="shared" si="130"/>
        <v>0</v>
      </c>
      <c r="AV426" s="90">
        <f t="shared" si="140"/>
        <v>0</v>
      </c>
      <c r="AW426" s="324">
        <f t="shared" si="131"/>
        <v>0</v>
      </c>
      <c r="AX426" s="80">
        <f t="shared" si="141"/>
        <v>0</v>
      </c>
      <c r="AY426" s="326">
        <f t="shared" si="132"/>
        <v>2003.2942444444445</v>
      </c>
      <c r="AZ426" s="80">
        <f t="shared" si="133"/>
        <v>2063.0545000000002</v>
      </c>
    </row>
    <row r="427" spans="1:52">
      <c r="A427" s="174" t="s">
        <v>724</v>
      </c>
      <c r="B427" s="174" t="s">
        <v>726</v>
      </c>
      <c r="C427" s="175">
        <v>364548</v>
      </c>
      <c r="D427" s="345">
        <v>12</v>
      </c>
      <c r="E427" s="162" t="s">
        <v>442</v>
      </c>
      <c r="F427" s="163" t="s">
        <v>442</v>
      </c>
      <c r="G427" s="79"/>
      <c r="H427" s="322"/>
      <c r="I427" s="79"/>
      <c r="J427" s="322"/>
      <c r="K427" s="79"/>
      <c r="L427" s="322"/>
      <c r="M427" s="79"/>
      <c r="N427" s="322"/>
      <c r="O427" s="323">
        <f t="shared" si="124"/>
        <v>0</v>
      </c>
      <c r="P427" s="638">
        <f t="shared" si="134"/>
        <v>0</v>
      </c>
      <c r="Q427" s="322"/>
      <c r="R427" s="90">
        <f t="shared" si="138"/>
        <v>0</v>
      </c>
      <c r="S427" s="324">
        <f t="shared" si="125"/>
        <v>0</v>
      </c>
      <c r="T427" s="638">
        <f t="shared" si="135"/>
        <v>0</v>
      </c>
      <c r="U427" s="322"/>
      <c r="V427" s="80">
        <f t="shared" si="139"/>
        <v>0</v>
      </c>
      <c r="W427" s="79"/>
      <c r="X427" s="322"/>
      <c r="Y427" s="79"/>
      <c r="Z427" s="322"/>
      <c r="AA427" s="79"/>
      <c r="AB427" s="322"/>
      <c r="AC427" s="79">
        <v>1009352.18</v>
      </c>
      <c r="AD427" s="322">
        <v>946199.4</v>
      </c>
      <c r="AE427" s="323">
        <f t="shared" si="126"/>
        <v>1009352.18</v>
      </c>
      <c r="AF427" s="638">
        <f t="shared" si="136"/>
        <v>0</v>
      </c>
      <c r="AG427" s="639" t="s">
        <v>949</v>
      </c>
      <c r="AH427" s="90">
        <f t="shared" si="127"/>
        <v>1121.5024222222223</v>
      </c>
      <c r="AI427" s="80">
        <f t="shared" si="128"/>
        <v>946199.4</v>
      </c>
      <c r="AJ427" s="638">
        <f t="shared" si="137"/>
        <v>0</v>
      </c>
      <c r="AK427" s="639" t="s">
        <v>949</v>
      </c>
      <c r="AL427" s="80">
        <f t="shared" si="129"/>
        <v>1051.3326666666667</v>
      </c>
      <c r="AM427" s="79"/>
      <c r="AN427" s="322"/>
      <c r="AO427" s="79"/>
      <c r="AP427" s="322"/>
      <c r="AQ427" s="79"/>
      <c r="AR427" s="322"/>
      <c r="AS427" s="79"/>
      <c r="AT427" s="322"/>
      <c r="AU427" s="325">
        <f t="shared" si="130"/>
        <v>0</v>
      </c>
      <c r="AV427" s="90">
        <f t="shared" si="140"/>
        <v>0</v>
      </c>
      <c r="AW427" s="324">
        <f t="shared" si="131"/>
        <v>0</v>
      </c>
      <c r="AX427" s="80">
        <f t="shared" si="141"/>
        <v>0</v>
      </c>
      <c r="AY427" s="326">
        <f t="shared" si="132"/>
        <v>1121.5024222222223</v>
      </c>
      <c r="AZ427" s="80">
        <f t="shared" si="133"/>
        <v>1051.3326666666667</v>
      </c>
    </row>
    <row r="428" spans="1:52">
      <c r="A428" s="174" t="s">
        <v>724</v>
      </c>
      <c r="B428" s="174" t="s">
        <v>727</v>
      </c>
      <c r="C428" s="175">
        <v>363165</v>
      </c>
      <c r="D428" s="345">
        <v>12</v>
      </c>
      <c r="E428" s="162" t="s">
        <v>442</v>
      </c>
      <c r="F428" s="163" t="s">
        <v>442</v>
      </c>
      <c r="G428" s="79"/>
      <c r="H428" s="322"/>
      <c r="I428" s="79"/>
      <c r="J428" s="322"/>
      <c r="K428" s="79"/>
      <c r="L428" s="322"/>
      <c r="M428" s="79"/>
      <c r="N428" s="322"/>
      <c r="O428" s="323">
        <f t="shared" si="124"/>
        <v>0</v>
      </c>
      <c r="P428" s="638">
        <f t="shared" si="134"/>
        <v>0</v>
      </c>
      <c r="Q428" s="322"/>
      <c r="R428" s="90">
        <f t="shared" si="138"/>
        <v>0</v>
      </c>
      <c r="S428" s="324">
        <f t="shared" si="125"/>
        <v>0</v>
      </c>
      <c r="T428" s="638">
        <f t="shared" si="135"/>
        <v>0</v>
      </c>
      <c r="U428" s="322"/>
      <c r="V428" s="80">
        <f t="shared" si="139"/>
        <v>0</v>
      </c>
      <c r="W428" s="79"/>
      <c r="X428" s="322"/>
      <c r="Y428" s="79"/>
      <c r="Z428" s="322"/>
      <c r="AA428" s="79"/>
      <c r="AB428" s="322"/>
      <c r="AC428" s="79">
        <v>1413286.5</v>
      </c>
      <c r="AD428" s="322">
        <v>1385602.75</v>
      </c>
      <c r="AE428" s="323">
        <f t="shared" si="126"/>
        <v>1413286.5</v>
      </c>
      <c r="AF428" s="638">
        <f t="shared" si="136"/>
        <v>0</v>
      </c>
      <c r="AG428" s="639" t="s">
        <v>949</v>
      </c>
      <c r="AH428" s="90">
        <f t="shared" si="127"/>
        <v>1570.3183333333334</v>
      </c>
      <c r="AI428" s="80">
        <f t="shared" si="128"/>
        <v>1385602.75</v>
      </c>
      <c r="AJ428" s="638">
        <f t="shared" si="137"/>
        <v>0</v>
      </c>
      <c r="AK428" s="639" t="s">
        <v>949</v>
      </c>
      <c r="AL428" s="80">
        <f t="shared" si="129"/>
        <v>1539.5586111111111</v>
      </c>
      <c r="AM428" s="79"/>
      <c r="AN428" s="322"/>
      <c r="AO428" s="79"/>
      <c r="AP428" s="322"/>
      <c r="AQ428" s="79"/>
      <c r="AR428" s="322"/>
      <c r="AS428" s="79"/>
      <c r="AT428" s="322"/>
      <c r="AU428" s="325">
        <f t="shared" si="130"/>
        <v>0</v>
      </c>
      <c r="AV428" s="90">
        <f t="shared" si="140"/>
        <v>0</v>
      </c>
      <c r="AW428" s="324">
        <f t="shared" si="131"/>
        <v>0</v>
      </c>
      <c r="AX428" s="80">
        <f t="shared" si="141"/>
        <v>0</v>
      </c>
      <c r="AY428" s="326">
        <f t="shared" si="132"/>
        <v>1570.3183333333334</v>
      </c>
      <c r="AZ428" s="80">
        <f t="shared" si="133"/>
        <v>1539.5586111111111</v>
      </c>
    </row>
    <row r="429" spans="1:52">
      <c r="A429" s="174" t="s">
        <v>724</v>
      </c>
      <c r="B429" s="174" t="s">
        <v>728</v>
      </c>
      <c r="C429" s="175">
        <v>248606</v>
      </c>
      <c r="D429" s="345">
        <v>12</v>
      </c>
      <c r="E429" s="162" t="s">
        <v>442</v>
      </c>
      <c r="F429" s="163" t="s">
        <v>442</v>
      </c>
      <c r="G429" s="79"/>
      <c r="H429" s="322"/>
      <c r="I429" s="79"/>
      <c r="J429" s="322"/>
      <c r="K429" s="79"/>
      <c r="L429" s="322"/>
      <c r="M429" s="79"/>
      <c r="N429" s="322"/>
      <c r="O429" s="323">
        <f t="shared" si="124"/>
        <v>0</v>
      </c>
      <c r="P429" s="638">
        <f t="shared" si="134"/>
        <v>0</v>
      </c>
      <c r="Q429" s="322"/>
      <c r="R429" s="90">
        <f t="shared" si="138"/>
        <v>0</v>
      </c>
      <c r="S429" s="324">
        <f t="shared" si="125"/>
        <v>0</v>
      </c>
      <c r="T429" s="638">
        <f t="shared" si="135"/>
        <v>0</v>
      </c>
      <c r="U429" s="322"/>
      <c r="V429" s="80">
        <f t="shared" si="139"/>
        <v>0</v>
      </c>
      <c r="W429" s="79"/>
      <c r="X429" s="322"/>
      <c r="Y429" s="79"/>
      <c r="Z429" s="322"/>
      <c r="AA429" s="79"/>
      <c r="AB429" s="322"/>
      <c r="AC429" s="79">
        <v>887113.09</v>
      </c>
      <c r="AD429" s="322">
        <v>882600.57</v>
      </c>
      <c r="AE429" s="323">
        <f t="shared" si="126"/>
        <v>887113.09</v>
      </c>
      <c r="AF429" s="638">
        <f t="shared" si="136"/>
        <v>0</v>
      </c>
      <c r="AG429" s="639" t="s">
        <v>949</v>
      </c>
      <c r="AH429" s="90">
        <f t="shared" si="127"/>
        <v>985.68121111111111</v>
      </c>
      <c r="AI429" s="80">
        <f t="shared" si="128"/>
        <v>882600.57</v>
      </c>
      <c r="AJ429" s="638">
        <f t="shared" si="137"/>
        <v>0</v>
      </c>
      <c r="AK429" s="639" t="s">
        <v>949</v>
      </c>
      <c r="AL429" s="80">
        <f t="shared" si="129"/>
        <v>980.66729999999995</v>
      </c>
      <c r="AM429" s="79"/>
      <c r="AN429" s="322"/>
      <c r="AO429" s="79"/>
      <c r="AP429" s="322"/>
      <c r="AQ429" s="79"/>
      <c r="AR429" s="322"/>
      <c r="AS429" s="79"/>
      <c r="AT429" s="322"/>
      <c r="AU429" s="325">
        <f t="shared" si="130"/>
        <v>0</v>
      </c>
      <c r="AV429" s="90">
        <f t="shared" si="140"/>
        <v>0</v>
      </c>
      <c r="AW429" s="324">
        <f t="shared" si="131"/>
        <v>0</v>
      </c>
      <c r="AX429" s="80">
        <f t="shared" si="141"/>
        <v>0</v>
      </c>
      <c r="AY429" s="326">
        <f t="shared" si="132"/>
        <v>985.68121111111111</v>
      </c>
      <c r="AZ429" s="80">
        <f t="shared" si="133"/>
        <v>980.66729999999995</v>
      </c>
    </row>
    <row r="430" spans="1:52">
      <c r="A430" s="174" t="s">
        <v>724</v>
      </c>
      <c r="B430" s="177" t="s">
        <v>729</v>
      </c>
      <c r="C430" s="178">
        <v>261393</v>
      </c>
      <c r="D430" s="345">
        <v>12</v>
      </c>
      <c r="E430" s="162" t="s">
        <v>442</v>
      </c>
      <c r="F430" s="163" t="s">
        <v>442</v>
      </c>
      <c r="G430" s="79"/>
      <c r="H430" s="322"/>
      <c r="I430" s="79"/>
      <c r="J430" s="322"/>
      <c r="K430" s="79"/>
      <c r="L430" s="322"/>
      <c r="M430" s="79"/>
      <c r="N430" s="322"/>
      <c r="O430" s="323">
        <f t="shared" si="124"/>
        <v>0</v>
      </c>
      <c r="P430" s="638">
        <f t="shared" si="134"/>
        <v>0</v>
      </c>
      <c r="Q430" s="322"/>
      <c r="R430" s="90">
        <f t="shared" si="138"/>
        <v>0</v>
      </c>
      <c r="S430" s="324">
        <f t="shared" si="125"/>
        <v>0</v>
      </c>
      <c r="T430" s="638">
        <f t="shared" si="135"/>
        <v>0</v>
      </c>
      <c r="U430" s="322"/>
      <c r="V430" s="80">
        <f t="shared" si="139"/>
        <v>0</v>
      </c>
      <c r="W430" s="79"/>
      <c r="X430" s="322"/>
      <c r="Y430" s="79"/>
      <c r="Z430" s="322"/>
      <c r="AA430" s="79"/>
      <c r="AB430" s="322"/>
      <c r="AC430" s="79">
        <v>1169688.75</v>
      </c>
      <c r="AD430" s="322">
        <v>972189.6</v>
      </c>
      <c r="AE430" s="323">
        <f t="shared" si="126"/>
        <v>1169688.75</v>
      </c>
      <c r="AF430" s="638">
        <f t="shared" si="136"/>
        <v>0</v>
      </c>
      <c r="AG430" s="639" t="s">
        <v>949</v>
      </c>
      <c r="AH430" s="90">
        <f t="shared" si="127"/>
        <v>1299.6541666666667</v>
      </c>
      <c r="AI430" s="80">
        <f t="shared" si="128"/>
        <v>972189.6</v>
      </c>
      <c r="AJ430" s="638">
        <f t="shared" si="137"/>
        <v>0</v>
      </c>
      <c r="AK430" s="639" t="s">
        <v>949</v>
      </c>
      <c r="AL430" s="80">
        <f t="shared" si="129"/>
        <v>1080.2106666666666</v>
      </c>
      <c r="AM430" s="79"/>
      <c r="AN430" s="322"/>
      <c r="AO430" s="79"/>
      <c r="AP430" s="322"/>
      <c r="AQ430" s="79"/>
      <c r="AR430" s="322"/>
      <c r="AS430" s="79"/>
      <c r="AT430" s="322"/>
      <c r="AU430" s="325">
        <f t="shared" si="130"/>
        <v>0</v>
      </c>
      <c r="AV430" s="90">
        <f t="shared" si="140"/>
        <v>0</v>
      </c>
      <c r="AW430" s="324">
        <f t="shared" si="131"/>
        <v>0</v>
      </c>
      <c r="AX430" s="80">
        <f t="shared" si="141"/>
        <v>0</v>
      </c>
      <c r="AY430" s="326">
        <f t="shared" si="132"/>
        <v>1299.6541666666667</v>
      </c>
      <c r="AZ430" s="80">
        <f t="shared" si="133"/>
        <v>1080.2106666666666</v>
      </c>
    </row>
    <row r="431" spans="1:52">
      <c r="A431" s="174" t="s">
        <v>724</v>
      </c>
      <c r="B431" s="174" t="s">
        <v>730</v>
      </c>
      <c r="C431" s="175">
        <v>365213</v>
      </c>
      <c r="D431" s="345">
        <v>13</v>
      </c>
      <c r="E431" s="162" t="s">
        <v>442</v>
      </c>
      <c r="F431" s="163" t="s">
        <v>442</v>
      </c>
      <c r="G431" s="79"/>
      <c r="H431" s="322"/>
      <c r="I431" s="79"/>
      <c r="J431" s="322"/>
      <c r="K431" s="79"/>
      <c r="L431" s="322"/>
      <c r="M431" s="79"/>
      <c r="N431" s="322"/>
      <c r="O431" s="323">
        <f t="shared" si="124"/>
        <v>0</v>
      </c>
      <c r="P431" s="638">
        <f t="shared" si="134"/>
        <v>0</v>
      </c>
      <c r="Q431" s="322"/>
      <c r="R431" s="90">
        <f t="shared" si="138"/>
        <v>0</v>
      </c>
      <c r="S431" s="324">
        <f t="shared" si="125"/>
        <v>0</v>
      </c>
      <c r="T431" s="638">
        <f t="shared" si="135"/>
        <v>0</v>
      </c>
      <c r="U431" s="322"/>
      <c r="V431" s="80">
        <f t="shared" si="139"/>
        <v>0</v>
      </c>
      <c r="W431" s="79"/>
      <c r="X431" s="322"/>
      <c r="Y431" s="79"/>
      <c r="Z431" s="322"/>
      <c r="AA431" s="79"/>
      <c r="AB431" s="322"/>
      <c r="AC431" s="79">
        <v>483507.75</v>
      </c>
      <c r="AD431" s="322">
        <v>489328.79</v>
      </c>
      <c r="AE431" s="323">
        <f t="shared" si="126"/>
        <v>483507.75</v>
      </c>
      <c r="AF431" s="638">
        <f t="shared" si="136"/>
        <v>0</v>
      </c>
      <c r="AG431" s="639" t="s">
        <v>949</v>
      </c>
      <c r="AH431" s="90">
        <f t="shared" si="127"/>
        <v>537.23083333333329</v>
      </c>
      <c r="AI431" s="80">
        <f t="shared" si="128"/>
        <v>489328.79</v>
      </c>
      <c r="AJ431" s="638">
        <f t="shared" si="137"/>
        <v>0</v>
      </c>
      <c r="AK431" s="639" t="s">
        <v>949</v>
      </c>
      <c r="AL431" s="80">
        <f t="shared" si="129"/>
        <v>543.69865555555555</v>
      </c>
      <c r="AM431" s="79"/>
      <c r="AN431" s="322"/>
      <c r="AO431" s="79"/>
      <c r="AP431" s="322"/>
      <c r="AQ431" s="79"/>
      <c r="AR431" s="322"/>
      <c r="AS431" s="79"/>
      <c r="AT431" s="322"/>
      <c r="AU431" s="325">
        <f t="shared" si="130"/>
        <v>0</v>
      </c>
      <c r="AV431" s="90">
        <f t="shared" si="140"/>
        <v>0</v>
      </c>
      <c r="AW431" s="324">
        <f t="shared" si="131"/>
        <v>0</v>
      </c>
      <c r="AX431" s="80">
        <f t="shared" si="141"/>
        <v>0</v>
      </c>
      <c r="AY431" s="326">
        <f t="shared" si="132"/>
        <v>537.23083333333329</v>
      </c>
      <c r="AZ431" s="80">
        <f t="shared" si="133"/>
        <v>543.69865555555555</v>
      </c>
    </row>
    <row r="432" spans="1:52">
      <c r="A432" s="174" t="s">
        <v>724</v>
      </c>
      <c r="B432" s="174" t="s">
        <v>731</v>
      </c>
      <c r="C432" s="175">
        <v>364946</v>
      </c>
      <c r="D432" s="345">
        <v>13</v>
      </c>
      <c r="E432" s="162" t="s">
        <v>442</v>
      </c>
      <c r="F432" s="163" t="s">
        <v>442</v>
      </c>
      <c r="G432" s="79"/>
      <c r="H432" s="322"/>
      <c r="I432" s="79"/>
      <c r="J432" s="322"/>
      <c r="K432" s="79"/>
      <c r="L432" s="322"/>
      <c r="M432" s="79"/>
      <c r="N432" s="322"/>
      <c r="O432" s="323">
        <f t="shared" si="124"/>
        <v>0</v>
      </c>
      <c r="P432" s="638">
        <f t="shared" si="134"/>
        <v>0</v>
      </c>
      <c r="Q432" s="322"/>
      <c r="R432" s="90">
        <f t="shared" si="138"/>
        <v>0</v>
      </c>
      <c r="S432" s="324">
        <f t="shared" si="125"/>
        <v>0</v>
      </c>
      <c r="T432" s="638">
        <f t="shared" si="135"/>
        <v>0</v>
      </c>
      <c r="U432" s="322"/>
      <c r="V432" s="80">
        <f t="shared" si="139"/>
        <v>0</v>
      </c>
      <c r="W432" s="79"/>
      <c r="X432" s="322"/>
      <c r="Y432" s="79"/>
      <c r="Z432" s="322"/>
      <c r="AA432" s="79"/>
      <c r="AB432" s="322"/>
      <c r="AC432" s="79">
        <v>402438.5</v>
      </c>
      <c r="AD432" s="322">
        <v>389053.5</v>
      </c>
      <c r="AE432" s="323">
        <f t="shared" si="126"/>
        <v>402438.5</v>
      </c>
      <c r="AF432" s="638">
        <f t="shared" si="136"/>
        <v>0</v>
      </c>
      <c r="AG432" s="639" t="s">
        <v>949</v>
      </c>
      <c r="AH432" s="90">
        <f t="shared" si="127"/>
        <v>447.1538888888889</v>
      </c>
      <c r="AI432" s="80">
        <f t="shared" si="128"/>
        <v>389053.5</v>
      </c>
      <c r="AJ432" s="638">
        <f t="shared" si="137"/>
        <v>0</v>
      </c>
      <c r="AK432" s="639" t="s">
        <v>949</v>
      </c>
      <c r="AL432" s="80">
        <f t="shared" si="129"/>
        <v>432.28166666666669</v>
      </c>
      <c r="AM432" s="79"/>
      <c r="AN432" s="322"/>
      <c r="AO432" s="79"/>
      <c r="AP432" s="322"/>
      <c r="AQ432" s="79"/>
      <c r="AR432" s="322"/>
      <c r="AS432" s="79"/>
      <c r="AT432" s="322"/>
      <c r="AU432" s="325">
        <f t="shared" si="130"/>
        <v>0</v>
      </c>
      <c r="AV432" s="90">
        <f t="shared" si="140"/>
        <v>0</v>
      </c>
      <c r="AW432" s="324">
        <f t="shared" si="131"/>
        <v>0</v>
      </c>
      <c r="AX432" s="80">
        <f t="shared" si="141"/>
        <v>0</v>
      </c>
      <c r="AY432" s="326">
        <f t="shared" si="132"/>
        <v>447.1538888888889</v>
      </c>
      <c r="AZ432" s="80">
        <f t="shared" si="133"/>
        <v>432.28166666666669</v>
      </c>
    </row>
    <row r="433" spans="1:52">
      <c r="A433" s="174" t="s">
        <v>724</v>
      </c>
      <c r="B433" s="174" t="s">
        <v>732</v>
      </c>
      <c r="C433" s="175">
        <v>365374</v>
      </c>
      <c r="D433" s="345">
        <v>13</v>
      </c>
      <c r="E433" s="162" t="s">
        <v>442</v>
      </c>
      <c r="F433" s="163" t="s">
        <v>442</v>
      </c>
      <c r="G433" s="79"/>
      <c r="H433" s="322"/>
      <c r="I433" s="79"/>
      <c r="J433" s="322"/>
      <c r="K433" s="79"/>
      <c r="L433" s="322"/>
      <c r="M433" s="79"/>
      <c r="N433" s="322"/>
      <c r="O433" s="323">
        <f t="shared" si="124"/>
        <v>0</v>
      </c>
      <c r="P433" s="638">
        <f t="shared" si="134"/>
        <v>0</v>
      </c>
      <c r="Q433" s="322"/>
      <c r="R433" s="90">
        <f t="shared" si="138"/>
        <v>0</v>
      </c>
      <c r="S433" s="324">
        <f t="shared" si="125"/>
        <v>0</v>
      </c>
      <c r="T433" s="638">
        <f t="shared" si="135"/>
        <v>0</v>
      </c>
      <c r="U433" s="322"/>
      <c r="V433" s="80">
        <f t="shared" si="139"/>
        <v>0</v>
      </c>
      <c r="W433" s="79"/>
      <c r="X433" s="322"/>
      <c r="Y433" s="79"/>
      <c r="Z433" s="322"/>
      <c r="AA433" s="79"/>
      <c r="AB433" s="322"/>
      <c r="AC433" s="79">
        <v>905297.85</v>
      </c>
      <c r="AD433" s="322">
        <v>955036.96</v>
      </c>
      <c r="AE433" s="323">
        <f t="shared" si="126"/>
        <v>905297.85</v>
      </c>
      <c r="AF433" s="638">
        <f t="shared" si="136"/>
        <v>0</v>
      </c>
      <c r="AG433" s="639" t="s">
        <v>949</v>
      </c>
      <c r="AH433" s="90">
        <f t="shared" si="127"/>
        <v>1005.8865</v>
      </c>
      <c r="AI433" s="80">
        <f t="shared" si="128"/>
        <v>955036.96</v>
      </c>
      <c r="AJ433" s="638">
        <f t="shared" si="137"/>
        <v>0</v>
      </c>
      <c r="AK433" s="639" t="s">
        <v>949</v>
      </c>
      <c r="AL433" s="80">
        <f t="shared" si="129"/>
        <v>1061.1521777777778</v>
      </c>
      <c r="AM433" s="79"/>
      <c r="AN433" s="322"/>
      <c r="AO433" s="79"/>
      <c r="AP433" s="322"/>
      <c r="AQ433" s="79"/>
      <c r="AR433" s="322"/>
      <c r="AS433" s="79"/>
      <c r="AT433" s="322"/>
      <c r="AU433" s="325">
        <f t="shared" si="130"/>
        <v>0</v>
      </c>
      <c r="AV433" s="90">
        <f t="shared" si="140"/>
        <v>0</v>
      </c>
      <c r="AW433" s="324">
        <f t="shared" si="131"/>
        <v>0</v>
      </c>
      <c r="AX433" s="80">
        <f t="shared" si="141"/>
        <v>0</v>
      </c>
      <c r="AY433" s="326">
        <f t="shared" si="132"/>
        <v>1005.8865</v>
      </c>
      <c r="AZ433" s="80">
        <f t="shared" si="133"/>
        <v>1061.1521777777778</v>
      </c>
    </row>
    <row r="434" spans="1:52">
      <c r="A434" s="174" t="s">
        <v>724</v>
      </c>
      <c r="B434" s="174" t="s">
        <v>733</v>
      </c>
      <c r="C434" s="175">
        <v>246017</v>
      </c>
      <c r="D434" s="345">
        <v>13</v>
      </c>
      <c r="E434" s="162" t="s">
        <v>442</v>
      </c>
      <c r="F434" s="163" t="s">
        <v>442</v>
      </c>
      <c r="G434" s="79"/>
      <c r="H434" s="322"/>
      <c r="I434" s="79"/>
      <c r="J434" s="322"/>
      <c r="K434" s="79"/>
      <c r="L434" s="322"/>
      <c r="M434" s="79"/>
      <c r="N434" s="322"/>
      <c r="O434" s="323">
        <f t="shared" si="124"/>
        <v>0</v>
      </c>
      <c r="P434" s="638">
        <f t="shared" si="134"/>
        <v>0</v>
      </c>
      <c r="Q434" s="322"/>
      <c r="R434" s="90">
        <f t="shared" si="138"/>
        <v>0</v>
      </c>
      <c r="S434" s="324">
        <f t="shared" si="125"/>
        <v>0</v>
      </c>
      <c r="T434" s="638">
        <f t="shared" si="135"/>
        <v>0</v>
      </c>
      <c r="U434" s="322"/>
      <c r="V434" s="80">
        <f t="shared" si="139"/>
        <v>0</v>
      </c>
      <c r="W434" s="79"/>
      <c r="X434" s="322"/>
      <c r="Y434" s="79"/>
      <c r="Z434" s="322"/>
      <c r="AA434" s="79"/>
      <c r="AB434" s="322"/>
      <c r="AC434" s="79">
        <v>757687.05</v>
      </c>
      <c r="AD434" s="322">
        <v>742077.04</v>
      </c>
      <c r="AE434" s="323">
        <f t="shared" si="126"/>
        <v>757687.05</v>
      </c>
      <c r="AF434" s="638">
        <f t="shared" si="136"/>
        <v>0</v>
      </c>
      <c r="AG434" s="639" t="s">
        <v>949</v>
      </c>
      <c r="AH434" s="90">
        <f t="shared" si="127"/>
        <v>841.87450000000001</v>
      </c>
      <c r="AI434" s="80">
        <f t="shared" si="128"/>
        <v>742077.04</v>
      </c>
      <c r="AJ434" s="638">
        <f t="shared" si="137"/>
        <v>0</v>
      </c>
      <c r="AK434" s="639" t="s">
        <v>949</v>
      </c>
      <c r="AL434" s="80">
        <f t="shared" si="129"/>
        <v>824.53004444444446</v>
      </c>
      <c r="AM434" s="79"/>
      <c r="AN434" s="322"/>
      <c r="AO434" s="79"/>
      <c r="AP434" s="322"/>
      <c r="AQ434" s="79"/>
      <c r="AR434" s="322"/>
      <c r="AS434" s="79"/>
      <c r="AT434" s="322"/>
      <c r="AU434" s="325">
        <f t="shared" si="130"/>
        <v>0</v>
      </c>
      <c r="AV434" s="90">
        <f t="shared" si="140"/>
        <v>0</v>
      </c>
      <c r="AW434" s="324">
        <f t="shared" si="131"/>
        <v>0</v>
      </c>
      <c r="AX434" s="80">
        <f t="shared" si="141"/>
        <v>0</v>
      </c>
      <c r="AY434" s="326">
        <f t="shared" si="132"/>
        <v>841.87450000000001</v>
      </c>
      <c r="AZ434" s="80">
        <f t="shared" si="133"/>
        <v>824.53004444444446</v>
      </c>
    </row>
    <row r="435" spans="1:52">
      <c r="A435" s="174" t="s">
        <v>724</v>
      </c>
      <c r="B435" s="174" t="s">
        <v>734</v>
      </c>
      <c r="C435" s="175">
        <v>375656</v>
      </c>
      <c r="D435" s="176">
        <v>13</v>
      </c>
      <c r="E435" s="162" t="s">
        <v>442</v>
      </c>
      <c r="F435" s="163" t="s">
        <v>442</v>
      </c>
      <c r="G435" s="79"/>
      <c r="H435" s="322"/>
      <c r="I435" s="79"/>
      <c r="J435" s="322"/>
      <c r="K435" s="79"/>
      <c r="L435" s="322"/>
      <c r="M435" s="79"/>
      <c r="N435" s="322"/>
      <c r="O435" s="323">
        <f t="shared" si="124"/>
        <v>0</v>
      </c>
      <c r="P435" s="638">
        <f t="shared" si="134"/>
        <v>0</v>
      </c>
      <c r="Q435" s="322"/>
      <c r="R435" s="90">
        <f t="shared" si="138"/>
        <v>0</v>
      </c>
      <c r="S435" s="324">
        <f t="shared" si="125"/>
        <v>0</v>
      </c>
      <c r="T435" s="638">
        <f t="shared" si="135"/>
        <v>0</v>
      </c>
      <c r="U435" s="322"/>
      <c r="V435" s="80">
        <f t="shared" si="139"/>
        <v>0</v>
      </c>
      <c r="W435" s="79"/>
      <c r="X435" s="322"/>
      <c r="Y435" s="79"/>
      <c r="Z435" s="322"/>
      <c r="AA435" s="79"/>
      <c r="AB435" s="322"/>
      <c r="AC435" s="79">
        <v>84351</v>
      </c>
      <c r="AD435" s="322">
        <v>78293.25</v>
      </c>
      <c r="AE435" s="323">
        <f t="shared" si="126"/>
        <v>84351</v>
      </c>
      <c r="AF435" s="638">
        <f t="shared" si="136"/>
        <v>0</v>
      </c>
      <c r="AG435" s="639" t="s">
        <v>949</v>
      </c>
      <c r="AH435" s="90">
        <f t="shared" si="127"/>
        <v>93.723333333333329</v>
      </c>
      <c r="AI435" s="80">
        <f t="shared" si="128"/>
        <v>78293.25</v>
      </c>
      <c r="AJ435" s="638">
        <f t="shared" si="137"/>
        <v>0</v>
      </c>
      <c r="AK435" s="639" t="s">
        <v>949</v>
      </c>
      <c r="AL435" s="80">
        <f t="shared" si="129"/>
        <v>86.992500000000007</v>
      </c>
      <c r="AM435" s="79"/>
      <c r="AN435" s="322"/>
      <c r="AO435" s="79"/>
      <c r="AP435" s="322"/>
      <c r="AQ435" s="79"/>
      <c r="AR435" s="322"/>
      <c r="AS435" s="79"/>
      <c r="AT435" s="322"/>
      <c r="AU435" s="325">
        <f t="shared" si="130"/>
        <v>0</v>
      </c>
      <c r="AV435" s="90">
        <f t="shared" si="140"/>
        <v>0</v>
      </c>
      <c r="AW435" s="324">
        <f t="shared" si="131"/>
        <v>0</v>
      </c>
      <c r="AX435" s="80">
        <f t="shared" si="141"/>
        <v>0</v>
      </c>
      <c r="AY435" s="326">
        <f t="shared" si="132"/>
        <v>93.723333333333329</v>
      </c>
      <c r="AZ435" s="80">
        <f t="shared" si="133"/>
        <v>86.992500000000007</v>
      </c>
    </row>
    <row r="436" spans="1:52">
      <c r="A436" s="174" t="s">
        <v>724</v>
      </c>
      <c r="B436" s="174" t="s">
        <v>735</v>
      </c>
      <c r="C436" s="175">
        <v>418348</v>
      </c>
      <c r="D436" s="176">
        <v>13</v>
      </c>
      <c r="E436" s="162" t="s">
        <v>442</v>
      </c>
      <c r="F436" s="163" t="s">
        <v>442</v>
      </c>
      <c r="G436" s="79"/>
      <c r="H436" s="322"/>
      <c r="I436" s="79"/>
      <c r="J436" s="322"/>
      <c r="K436" s="79"/>
      <c r="L436" s="322"/>
      <c r="M436" s="79"/>
      <c r="N436" s="322"/>
      <c r="O436" s="323">
        <f t="shared" si="124"/>
        <v>0</v>
      </c>
      <c r="P436" s="638">
        <f t="shared" si="134"/>
        <v>0</v>
      </c>
      <c r="Q436" s="322"/>
      <c r="R436" s="90">
        <f t="shared" si="138"/>
        <v>0</v>
      </c>
      <c r="S436" s="324">
        <f t="shared" si="125"/>
        <v>0</v>
      </c>
      <c r="T436" s="638">
        <f t="shared" si="135"/>
        <v>0</v>
      </c>
      <c r="U436" s="322"/>
      <c r="V436" s="80">
        <f t="shared" si="139"/>
        <v>0</v>
      </c>
      <c r="W436" s="79"/>
      <c r="X436" s="322"/>
      <c r="Y436" s="79"/>
      <c r="Z436" s="322"/>
      <c r="AA436" s="79"/>
      <c r="AB436" s="322"/>
      <c r="AC436" s="79">
        <v>365616.75</v>
      </c>
      <c r="AD436" s="322">
        <v>346572.5</v>
      </c>
      <c r="AE436" s="323">
        <f t="shared" si="126"/>
        <v>365616.75</v>
      </c>
      <c r="AF436" s="638">
        <f t="shared" si="136"/>
        <v>0</v>
      </c>
      <c r="AG436" s="639" t="s">
        <v>949</v>
      </c>
      <c r="AH436" s="90">
        <f t="shared" si="127"/>
        <v>406.24083333333334</v>
      </c>
      <c r="AI436" s="80">
        <f t="shared" si="128"/>
        <v>346572.5</v>
      </c>
      <c r="AJ436" s="638">
        <f t="shared" si="137"/>
        <v>0</v>
      </c>
      <c r="AK436" s="639" t="s">
        <v>949</v>
      </c>
      <c r="AL436" s="80">
        <f t="shared" si="129"/>
        <v>385.08055555555558</v>
      </c>
      <c r="AM436" s="79"/>
      <c r="AN436" s="322"/>
      <c r="AO436" s="79"/>
      <c r="AP436" s="322"/>
      <c r="AQ436" s="79"/>
      <c r="AR436" s="322"/>
      <c r="AS436" s="79"/>
      <c r="AT436" s="322"/>
      <c r="AU436" s="325">
        <f t="shared" si="130"/>
        <v>0</v>
      </c>
      <c r="AV436" s="90">
        <f t="shared" si="140"/>
        <v>0</v>
      </c>
      <c r="AW436" s="324">
        <f t="shared" si="131"/>
        <v>0</v>
      </c>
      <c r="AX436" s="80">
        <f t="shared" si="141"/>
        <v>0</v>
      </c>
      <c r="AY436" s="326">
        <f t="shared" si="132"/>
        <v>406.24083333333334</v>
      </c>
      <c r="AZ436" s="80">
        <f t="shared" si="133"/>
        <v>385.08055555555558</v>
      </c>
    </row>
    <row r="437" spans="1:52">
      <c r="A437" s="174" t="s">
        <v>724</v>
      </c>
      <c r="B437" s="174" t="s">
        <v>736</v>
      </c>
      <c r="C437" s="175">
        <v>375683</v>
      </c>
      <c r="D437" s="176">
        <v>13</v>
      </c>
      <c r="E437" s="162" t="s">
        <v>442</v>
      </c>
      <c r="F437" s="163" t="s">
        <v>442</v>
      </c>
      <c r="G437" s="79"/>
      <c r="H437" s="322"/>
      <c r="I437" s="79"/>
      <c r="J437" s="322"/>
      <c r="K437" s="79"/>
      <c r="L437" s="322"/>
      <c r="M437" s="79"/>
      <c r="N437" s="322"/>
      <c r="O437" s="323">
        <f t="shared" si="124"/>
        <v>0</v>
      </c>
      <c r="P437" s="638">
        <f t="shared" si="134"/>
        <v>0</v>
      </c>
      <c r="Q437" s="322"/>
      <c r="R437" s="90">
        <f t="shared" si="138"/>
        <v>0</v>
      </c>
      <c r="S437" s="324">
        <f t="shared" si="125"/>
        <v>0</v>
      </c>
      <c r="T437" s="638">
        <f t="shared" si="135"/>
        <v>0</v>
      </c>
      <c r="U437" s="322"/>
      <c r="V437" s="80">
        <f t="shared" si="139"/>
        <v>0</v>
      </c>
      <c r="W437" s="79"/>
      <c r="X437" s="322"/>
      <c r="Y437" s="79"/>
      <c r="Z437" s="322"/>
      <c r="AA437" s="79"/>
      <c r="AB437" s="322"/>
      <c r="AC437" s="79">
        <v>657183.25</v>
      </c>
      <c r="AD437" s="322">
        <v>638792.25</v>
      </c>
      <c r="AE437" s="323">
        <f t="shared" si="126"/>
        <v>657183.25</v>
      </c>
      <c r="AF437" s="638">
        <f t="shared" si="136"/>
        <v>0</v>
      </c>
      <c r="AG437" s="639" t="s">
        <v>949</v>
      </c>
      <c r="AH437" s="90">
        <f t="shared" si="127"/>
        <v>730.20361111111106</v>
      </c>
      <c r="AI437" s="80">
        <f t="shared" si="128"/>
        <v>638792.25</v>
      </c>
      <c r="AJ437" s="638">
        <f t="shared" si="137"/>
        <v>0</v>
      </c>
      <c r="AK437" s="639" t="s">
        <v>949</v>
      </c>
      <c r="AL437" s="80">
        <f t="shared" si="129"/>
        <v>709.76916666666671</v>
      </c>
      <c r="AM437" s="79"/>
      <c r="AN437" s="322"/>
      <c r="AO437" s="79"/>
      <c r="AP437" s="322"/>
      <c r="AQ437" s="79"/>
      <c r="AR437" s="322"/>
      <c r="AS437" s="79"/>
      <c r="AT437" s="322"/>
      <c r="AU437" s="325">
        <f t="shared" si="130"/>
        <v>0</v>
      </c>
      <c r="AV437" s="90">
        <f t="shared" si="140"/>
        <v>0</v>
      </c>
      <c r="AW437" s="324">
        <f t="shared" si="131"/>
        <v>0</v>
      </c>
      <c r="AX437" s="80">
        <f t="shared" si="141"/>
        <v>0</v>
      </c>
      <c r="AY437" s="326">
        <f t="shared" si="132"/>
        <v>730.20361111111106</v>
      </c>
      <c r="AZ437" s="80">
        <f t="shared" si="133"/>
        <v>709.76916666666671</v>
      </c>
    </row>
    <row r="438" spans="1:52">
      <c r="A438" s="174" t="s">
        <v>724</v>
      </c>
      <c r="B438" s="174" t="s">
        <v>737</v>
      </c>
      <c r="C438" s="175">
        <v>428019</v>
      </c>
      <c r="D438" s="176">
        <v>13</v>
      </c>
      <c r="E438" s="162" t="s">
        <v>442</v>
      </c>
      <c r="F438" s="163" t="s">
        <v>442</v>
      </c>
      <c r="G438" s="79"/>
      <c r="H438" s="322"/>
      <c r="I438" s="79"/>
      <c r="J438" s="322"/>
      <c r="K438" s="79"/>
      <c r="L438" s="322"/>
      <c r="M438" s="79"/>
      <c r="N438" s="322"/>
      <c r="O438" s="323">
        <f t="shared" si="124"/>
        <v>0</v>
      </c>
      <c r="P438" s="638">
        <f t="shared" si="134"/>
        <v>0</v>
      </c>
      <c r="Q438" s="322"/>
      <c r="R438" s="90">
        <f t="shared" si="138"/>
        <v>0</v>
      </c>
      <c r="S438" s="324">
        <f t="shared" si="125"/>
        <v>0</v>
      </c>
      <c r="T438" s="638">
        <f t="shared" si="135"/>
        <v>0</v>
      </c>
      <c r="U438" s="322"/>
      <c r="V438" s="80">
        <f t="shared" si="139"/>
        <v>0</v>
      </c>
      <c r="W438" s="79"/>
      <c r="X438" s="322"/>
      <c r="Y438" s="79"/>
      <c r="Z438" s="322"/>
      <c r="AA438" s="79"/>
      <c r="AB438" s="322"/>
      <c r="AC438" s="79">
        <v>255850</v>
      </c>
      <c r="AD438" s="322">
        <v>209785</v>
      </c>
      <c r="AE438" s="323">
        <f t="shared" si="126"/>
        <v>255850</v>
      </c>
      <c r="AF438" s="638">
        <f t="shared" si="136"/>
        <v>0</v>
      </c>
      <c r="AG438" s="639" t="s">
        <v>949</v>
      </c>
      <c r="AH438" s="90">
        <f t="shared" si="127"/>
        <v>284.27777777777777</v>
      </c>
      <c r="AI438" s="80">
        <f t="shared" si="128"/>
        <v>209785</v>
      </c>
      <c r="AJ438" s="638">
        <f t="shared" si="137"/>
        <v>0</v>
      </c>
      <c r="AK438" s="639" t="s">
        <v>949</v>
      </c>
      <c r="AL438" s="80">
        <f t="shared" si="129"/>
        <v>233.09444444444443</v>
      </c>
      <c r="AM438" s="79"/>
      <c r="AN438" s="322"/>
      <c r="AO438" s="79"/>
      <c r="AP438" s="322"/>
      <c r="AQ438" s="79"/>
      <c r="AR438" s="322"/>
      <c r="AS438" s="79"/>
      <c r="AT438" s="322"/>
      <c r="AU438" s="325">
        <f t="shared" si="130"/>
        <v>0</v>
      </c>
      <c r="AV438" s="90">
        <f t="shared" si="140"/>
        <v>0</v>
      </c>
      <c r="AW438" s="324">
        <f t="shared" si="131"/>
        <v>0</v>
      </c>
      <c r="AX438" s="80">
        <f t="shared" si="141"/>
        <v>0</v>
      </c>
      <c r="AY438" s="326">
        <f t="shared" si="132"/>
        <v>284.27777777777777</v>
      </c>
      <c r="AZ438" s="80">
        <f t="shared" si="133"/>
        <v>233.09444444444443</v>
      </c>
    </row>
    <row r="439" spans="1:52">
      <c r="A439" s="174" t="s">
        <v>724</v>
      </c>
      <c r="B439" s="174" t="s">
        <v>738</v>
      </c>
      <c r="C439" s="175">
        <v>208053</v>
      </c>
      <c r="D439" s="176">
        <v>13</v>
      </c>
      <c r="E439" s="162" t="s">
        <v>442</v>
      </c>
      <c r="F439" s="163" t="s">
        <v>442</v>
      </c>
      <c r="G439" s="79"/>
      <c r="H439" s="322"/>
      <c r="I439" s="79"/>
      <c r="J439" s="322"/>
      <c r="K439" s="79"/>
      <c r="L439" s="322"/>
      <c r="M439" s="79"/>
      <c r="N439" s="322"/>
      <c r="O439" s="323">
        <f t="shared" si="124"/>
        <v>0</v>
      </c>
      <c r="P439" s="638">
        <f t="shared" si="134"/>
        <v>0</v>
      </c>
      <c r="Q439" s="322"/>
      <c r="R439" s="90">
        <f t="shared" si="138"/>
        <v>0</v>
      </c>
      <c r="S439" s="324">
        <f t="shared" si="125"/>
        <v>0</v>
      </c>
      <c r="T439" s="638">
        <f t="shared" si="135"/>
        <v>0</v>
      </c>
      <c r="U439" s="322"/>
      <c r="V439" s="80">
        <f t="shared" si="139"/>
        <v>0</v>
      </c>
      <c r="W439" s="79"/>
      <c r="X439" s="322"/>
      <c r="Y439" s="79"/>
      <c r="Z439" s="322"/>
      <c r="AA439" s="79"/>
      <c r="AB439" s="322"/>
      <c r="AC439" s="79">
        <v>269910</v>
      </c>
      <c r="AD439" s="322">
        <v>278161.5</v>
      </c>
      <c r="AE439" s="323">
        <f t="shared" si="126"/>
        <v>269910</v>
      </c>
      <c r="AF439" s="638">
        <f t="shared" si="136"/>
        <v>0</v>
      </c>
      <c r="AG439" s="639" t="s">
        <v>949</v>
      </c>
      <c r="AH439" s="90">
        <f t="shared" si="127"/>
        <v>299.89999999999998</v>
      </c>
      <c r="AI439" s="80">
        <f t="shared" si="128"/>
        <v>278161.5</v>
      </c>
      <c r="AJ439" s="638">
        <f t="shared" si="137"/>
        <v>0</v>
      </c>
      <c r="AK439" s="639" t="s">
        <v>949</v>
      </c>
      <c r="AL439" s="80">
        <f t="shared" si="129"/>
        <v>309.06833333333333</v>
      </c>
      <c r="AM439" s="79"/>
      <c r="AN439" s="322"/>
      <c r="AO439" s="79"/>
      <c r="AP439" s="322"/>
      <c r="AQ439" s="79"/>
      <c r="AR439" s="322"/>
      <c r="AS439" s="79"/>
      <c r="AT439" s="322"/>
      <c r="AU439" s="325">
        <f t="shared" si="130"/>
        <v>0</v>
      </c>
      <c r="AV439" s="90">
        <f t="shared" si="140"/>
        <v>0</v>
      </c>
      <c r="AW439" s="324">
        <f t="shared" si="131"/>
        <v>0</v>
      </c>
      <c r="AX439" s="80">
        <f t="shared" si="141"/>
        <v>0</v>
      </c>
      <c r="AY439" s="326">
        <f t="shared" si="132"/>
        <v>299.89999999999998</v>
      </c>
      <c r="AZ439" s="80">
        <f t="shared" si="133"/>
        <v>309.06833333333333</v>
      </c>
    </row>
    <row r="440" spans="1:52">
      <c r="A440" s="174" t="s">
        <v>724</v>
      </c>
      <c r="B440" s="174" t="s">
        <v>739</v>
      </c>
      <c r="C440" s="175">
        <v>418296</v>
      </c>
      <c r="D440" s="176">
        <v>13</v>
      </c>
      <c r="E440" s="162" t="s">
        <v>442</v>
      </c>
      <c r="F440" s="163" t="s">
        <v>442</v>
      </c>
      <c r="G440" s="79"/>
      <c r="H440" s="322"/>
      <c r="I440" s="79"/>
      <c r="J440" s="322"/>
      <c r="K440" s="79"/>
      <c r="L440" s="322"/>
      <c r="M440" s="79"/>
      <c r="N440" s="322"/>
      <c r="O440" s="323">
        <f t="shared" si="124"/>
        <v>0</v>
      </c>
      <c r="P440" s="638">
        <f t="shared" si="134"/>
        <v>0</v>
      </c>
      <c r="Q440" s="322"/>
      <c r="R440" s="90">
        <f t="shared" si="138"/>
        <v>0</v>
      </c>
      <c r="S440" s="324">
        <f t="shared" si="125"/>
        <v>0</v>
      </c>
      <c r="T440" s="638">
        <f t="shared" si="135"/>
        <v>0</v>
      </c>
      <c r="U440" s="322"/>
      <c r="V440" s="80">
        <f t="shared" si="139"/>
        <v>0</v>
      </c>
      <c r="W440" s="79"/>
      <c r="X440" s="322"/>
      <c r="Y440" s="79"/>
      <c r="Z440" s="322"/>
      <c r="AA440" s="79"/>
      <c r="AB440" s="322"/>
      <c r="AC440" s="79">
        <v>546609.75</v>
      </c>
      <c r="AD440" s="322">
        <v>530796</v>
      </c>
      <c r="AE440" s="323">
        <f t="shared" si="126"/>
        <v>546609.75</v>
      </c>
      <c r="AF440" s="638">
        <f t="shared" si="136"/>
        <v>0</v>
      </c>
      <c r="AG440" s="639" t="s">
        <v>949</v>
      </c>
      <c r="AH440" s="90">
        <f t="shared" si="127"/>
        <v>607.34416666666664</v>
      </c>
      <c r="AI440" s="80">
        <f t="shared" si="128"/>
        <v>530796</v>
      </c>
      <c r="AJ440" s="638">
        <f t="shared" si="137"/>
        <v>0</v>
      </c>
      <c r="AK440" s="639" t="s">
        <v>949</v>
      </c>
      <c r="AL440" s="80">
        <f t="shared" si="129"/>
        <v>589.77333333333331</v>
      </c>
      <c r="AM440" s="79"/>
      <c r="AN440" s="322"/>
      <c r="AO440" s="79"/>
      <c r="AP440" s="322"/>
      <c r="AQ440" s="79"/>
      <c r="AR440" s="322"/>
      <c r="AS440" s="79"/>
      <c r="AT440" s="322"/>
      <c r="AU440" s="325">
        <f t="shared" si="130"/>
        <v>0</v>
      </c>
      <c r="AV440" s="90">
        <f t="shared" si="140"/>
        <v>0</v>
      </c>
      <c r="AW440" s="324">
        <f t="shared" si="131"/>
        <v>0</v>
      </c>
      <c r="AX440" s="80">
        <f t="shared" si="141"/>
        <v>0</v>
      </c>
      <c r="AY440" s="326">
        <f t="shared" si="132"/>
        <v>607.34416666666664</v>
      </c>
      <c r="AZ440" s="80">
        <f t="shared" si="133"/>
        <v>589.77333333333331</v>
      </c>
    </row>
    <row r="441" spans="1:52">
      <c r="A441" s="174" t="s">
        <v>724</v>
      </c>
      <c r="B441" s="174" t="s">
        <v>740</v>
      </c>
      <c r="C441" s="175">
        <v>421540</v>
      </c>
      <c r="D441" s="176">
        <v>13</v>
      </c>
      <c r="E441" s="162" t="s">
        <v>442</v>
      </c>
      <c r="F441" s="163" t="s">
        <v>442</v>
      </c>
      <c r="G441" s="79"/>
      <c r="H441" s="322"/>
      <c r="I441" s="79"/>
      <c r="J441" s="322"/>
      <c r="K441" s="79"/>
      <c r="L441" s="322"/>
      <c r="M441" s="79"/>
      <c r="N441" s="322"/>
      <c r="O441" s="323">
        <f t="shared" si="124"/>
        <v>0</v>
      </c>
      <c r="P441" s="638">
        <f t="shared" si="134"/>
        <v>0</v>
      </c>
      <c r="Q441" s="322"/>
      <c r="R441" s="90">
        <f t="shared" si="138"/>
        <v>0</v>
      </c>
      <c r="S441" s="324">
        <f t="shared" si="125"/>
        <v>0</v>
      </c>
      <c r="T441" s="638">
        <f t="shared" si="135"/>
        <v>0</v>
      </c>
      <c r="U441" s="322"/>
      <c r="V441" s="80">
        <f t="shared" si="139"/>
        <v>0</v>
      </c>
      <c r="W441" s="79"/>
      <c r="X441" s="322"/>
      <c r="Y441" s="79"/>
      <c r="Z441" s="322"/>
      <c r="AA441" s="79"/>
      <c r="AB441" s="322"/>
      <c r="AC441" s="79">
        <v>165518.25</v>
      </c>
      <c r="AD441" s="322">
        <v>176953.5</v>
      </c>
      <c r="AE441" s="323">
        <f t="shared" si="126"/>
        <v>165518.25</v>
      </c>
      <c r="AF441" s="638">
        <f t="shared" si="136"/>
        <v>0</v>
      </c>
      <c r="AG441" s="639" t="s">
        <v>949</v>
      </c>
      <c r="AH441" s="90">
        <f t="shared" si="127"/>
        <v>183.90916666666666</v>
      </c>
      <c r="AI441" s="80">
        <f t="shared" si="128"/>
        <v>176953.5</v>
      </c>
      <c r="AJ441" s="638">
        <f t="shared" si="137"/>
        <v>0</v>
      </c>
      <c r="AK441" s="639" t="s">
        <v>949</v>
      </c>
      <c r="AL441" s="80">
        <f t="shared" si="129"/>
        <v>196.61500000000001</v>
      </c>
      <c r="AM441" s="79"/>
      <c r="AN441" s="322"/>
      <c r="AO441" s="79"/>
      <c r="AP441" s="322"/>
      <c r="AQ441" s="79"/>
      <c r="AR441" s="322"/>
      <c r="AS441" s="79"/>
      <c r="AT441" s="322"/>
      <c r="AU441" s="325">
        <f t="shared" si="130"/>
        <v>0</v>
      </c>
      <c r="AV441" s="90">
        <f t="shared" si="140"/>
        <v>0</v>
      </c>
      <c r="AW441" s="324">
        <f t="shared" si="131"/>
        <v>0</v>
      </c>
      <c r="AX441" s="80">
        <f t="shared" si="141"/>
        <v>0</v>
      </c>
      <c r="AY441" s="326">
        <f t="shared" si="132"/>
        <v>183.90916666666666</v>
      </c>
      <c r="AZ441" s="80">
        <f t="shared" si="133"/>
        <v>196.61500000000001</v>
      </c>
    </row>
    <row r="442" spans="1:52">
      <c r="A442" s="174" t="s">
        <v>724</v>
      </c>
      <c r="B442" s="174" t="s">
        <v>741</v>
      </c>
      <c r="C442" s="175">
        <v>421559</v>
      </c>
      <c r="D442" s="176">
        <v>13</v>
      </c>
      <c r="E442" s="162" t="s">
        <v>442</v>
      </c>
      <c r="F442" s="163" t="s">
        <v>442</v>
      </c>
      <c r="G442" s="79"/>
      <c r="H442" s="322"/>
      <c r="I442" s="79"/>
      <c r="J442" s="322"/>
      <c r="K442" s="79"/>
      <c r="L442" s="322"/>
      <c r="M442" s="79"/>
      <c r="N442" s="322"/>
      <c r="O442" s="323">
        <f t="shared" si="124"/>
        <v>0</v>
      </c>
      <c r="P442" s="638">
        <f t="shared" si="134"/>
        <v>0</v>
      </c>
      <c r="Q442" s="322"/>
      <c r="R442" s="90">
        <f t="shared" si="138"/>
        <v>0</v>
      </c>
      <c r="S442" s="324">
        <f t="shared" si="125"/>
        <v>0</v>
      </c>
      <c r="T442" s="638">
        <f t="shared" si="135"/>
        <v>0</v>
      </c>
      <c r="U442" s="322"/>
      <c r="V442" s="80">
        <f t="shared" si="139"/>
        <v>0</v>
      </c>
      <c r="W442" s="79"/>
      <c r="X442" s="322"/>
      <c r="Y442" s="79"/>
      <c r="Z442" s="322"/>
      <c r="AA442" s="79"/>
      <c r="AB442" s="322"/>
      <c r="AC442" s="79">
        <v>89654.5</v>
      </c>
      <c r="AD442" s="322">
        <v>96409.75</v>
      </c>
      <c r="AE442" s="323">
        <f t="shared" si="126"/>
        <v>89654.5</v>
      </c>
      <c r="AF442" s="638">
        <f t="shared" si="136"/>
        <v>0</v>
      </c>
      <c r="AG442" s="639" t="s">
        <v>949</v>
      </c>
      <c r="AH442" s="90">
        <f t="shared" si="127"/>
        <v>99.61611111111111</v>
      </c>
      <c r="AI442" s="80">
        <f t="shared" si="128"/>
        <v>96409.75</v>
      </c>
      <c r="AJ442" s="638">
        <f t="shared" si="137"/>
        <v>0</v>
      </c>
      <c r="AK442" s="639" t="s">
        <v>949</v>
      </c>
      <c r="AL442" s="80">
        <f t="shared" si="129"/>
        <v>107.12194444444444</v>
      </c>
      <c r="AM442" s="79"/>
      <c r="AN442" s="322"/>
      <c r="AO442" s="79"/>
      <c r="AP442" s="322"/>
      <c r="AQ442" s="79"/>
      <c r="AR442" s="322"/>
      <c r="AS442" s="79"/>
      <c r="AT442" s="322"/>
      <c r="AU442" s="325">
        <f t="shared" si="130"/>
        <v>0</v>
      </c>
      <c r="AV442" s="90">
        <f t="shared" si="140"/>
        <v>0</v>
      </c>
      <c r="AW442" s="324">
        <f t="shared" si="131"/>
        <v>0</v>
      </c>
      <c r="AX442" s="80">
        <f t="shared" si="141"/>
        <v>0</v>
      </c>
      <c r="AY442" s="326">
        <f t="shared" si="132"/>
        <v>99.61611111111111</v>
      </c>
      <c r="AZ442" s="80">
        <f t="shared" si="133"/>
        <v>107.12194444444444</v>
      </c>
    </row>
    <row r="443" spans="1:52">
      <c r="A443" s="174" t="s">
        <v>724</v>
      </c>
      <c r="B443" s="174" t="s">
        <v>742</v>
      </c>
      <c r="C443" s="175">
        <v>208026</v>
      </c>
      <c r="D443" s="176">
        <v>13</v>
      </c>
      <c r="E443" s="162" t="s">
        <v>442</v>
      </c>
      <c r="F443" s="163" t="s">
        <v>442</v>
      </c>
      <c r="G443" s="79"/>
      <c r="H443" s="322"/>
      <c r="I443" s="79"/>
      <c r="J443" s="322"/>
      <c r="K443" s="79"/>
      <c r="L443" s="322"/>
      <c r="M443" s="79"/>
      <c r="N443" s="322"/>
      <c r="O443" s="323">
        <f t="shared" si="124"/>
        <v>0</v>
      </c>
      <c r="P443" s="638">
        <f t="shared" si="134"/>
        <v>0</v>
      </c>
      <c r="Q443" s="322"/>
      <c r="R443" s="90">
        <f t="shared" si="138"/>
        <v>0</v>
      </c>
      <c r="S443" s="324">
        <f t="shared" si="125"/>
        <v>0</v>
      </c>
      <c r="T443" s="638">
        <f t="shared" si="135"/>
        <v>0</v>
      </c>
      <c r="U443" s="322"/>
      <c r="V443" s="80">
        <f t="shared" si="139"/>
        <v>0</v>
      </c>
      <c r="W443" s="79"/>
      <c r="X443" s="322"/>
      <c r="Y443" s="79"/>
      <c r="Z443" s="322"/>
      <c r="AA443" s="79"/>
      <c r="AB443" s="322"/>
      <c r="AC443" s="79">
        <v>201854.5</v>
      </c>
      <c r="AD443" s="322">
        <v>193509.75</v>
      </c>
      <c r="AE443" s="323">
        <f t="shared" si="126"/>
        <v>201854.5</v>
      </c>
      <c r="AF443" s="638">
        <f t="shared" si="136"/>
        <v>0</v>
      </c>
      <c r="AG443" s="639" t="s">
        <v>949</v>
      </c>
      <c r="AH443" s="90">
        <f t="shared" si="127"/>
        <v>224.28277777777777</v>
      </c>
      <c r="AI443" s="80">
        <f t="shared" si="128"/>
        <v>193509.75</v>
      </c>
      <c r="AJ443" s="638">
        <f t="shared" si="137"/>
        <v>0</v>
      </c>
      <c r="AK443" s="639" t="s">
        <v>949</v>
      </c>
      <c r="AL443" s="80">
        <f t="shared" si="129"/>
        <v>215.01083333333332</v>
      </c>
      <c r="AM443" s="79"/>
      <c r="AN443" s="322"/>
      <c r="AO443" s="79"/>
      <c r="AP443" s="322"/>
      <c r="AQ443" s="79"/>
      <c r="AR443" s="322"/>
      <c r="AS443" s="79"/>
      <c r="AT443" s="322"/>
      <c r="AU443" s="325">
        <f t="shared" si="130"/>
        <v>0</v>
      </c>
      <c r="AV443" s="90">
        <f t="shared" si="140"/>
        <v>0</v>
      </c>
      <c r="AW443" s="324">
        <f t="shared" si="131"/>
        <v>0</v>
      </c>
      <c r="AX443" s="80">
        <f t="shared" si="141"/>
        <v>0</v>
      </c>
      <c r="AY443" s="326">
        <f t="shared" si="132"/>
        <v>224.28277777777777</v>
      </c>
      <c r="AZ443" s="80">
        <f t="shared" si="133"/>
        <v>215.01083333333332</v>
      </c>
    </row>
    <row r="444" spans="1:52">
      <c r="A444" s="174" t="s">
        <v>724</v>
      </c>
      <c r="B444" s="174" t="s">
        <v>743</v>
      </c>
      <c r="C444" s="175">
        <v>375692</v>
      </c>
      <c r="D444" s="176">
        <v>13</v>
      </c>
      <c r="E444" s="162" t="s">
        <v>442</v>
      </c>
      <c r="F444" s="163" t="s">
        <v>442</v>
      </c>
      <c r="G444" s="79"/>
      <c r="H444" s="322"/>
      <c r="I444" s="79"/>
      <c r="J444" s="322"/>
      <c r="K444" s="79"/>
      <c r="L444" s="322"/>
      <c r="M444" s="79"/>
      <c r="N444" s="322"/>
      <c r="O444" s="323">
        <f t="shared" si="124"/>
        <v>0</v>
      </c>
      <c r="P444" s="638">
        <f t="shared" si="134"/>
        <v>0</v>
      </c>
      <c r="Q444" s="322"/>
      <c r="R444" s="90">
        <f t="shared" si="138"/>
        <v>0</v>
      </c>
      <c r="S444" s="324">
        <f t="shared" si="125"/>
        <v>0</v>
      </c>
      <c r="T444" s="638">
        <f t="shared" si="135"/>
        <v>0</v>
      </c>
      <c r="U444" s="322"/>
      <c r="V444" s="80">
        <f t="shared" si="139"/>
        <v>0</v>
      </c>
      <c r="W444" s="79"/>
      <c r="X444" s="322"/>
      <c r="Y444" s="79"/>
      <c r="Z444" s="322"/>
      <c r="AA444" s="79"/>
      <c r="AB444" s="322"/>
      <c r="AC444" s="79">
        <v>139359.25</v>
      </c>
      <c r="AD444" s="322">
        <v>138150</v>
      </c>
      <c r="AE444" s="323">
        <f t="shared" si="126"/>
        <v>139359.25</v>
      </c>
      <c r="AF444" s="638">
        <f t="shared" si="136"/>
        <v>0</v>
      </c>
      <c r="AG444" s="639" t="s">
        <v>949</v>
      </c>
      <c r="AH444" s="90">
        <f t="shared" si="127"/>
        <v>154.8436111111111</v>
      </c>
      <c r="AI444" s="80">
        <f t="shared" si="128"/>
        <v>138150</v>
      </c>
      <c r="AJ444" s="638">
        <f t="shared" si="137"/>
        <v>0</v>
      </c>
      <c r="AK444" s="639" t="s">
        <v>949</v>
      </c>
      <c r="AL444" s="80">
        <f t="shared" si="129"/>
        <v>153.5</v>
      </c>
      <c r="AM444" s="79"/>
      <c r="AN444" s="322"/>
      <c r="AO444" s="79"/>
      <c r="AP444" s="322"/>
      <c r="AQ444" s="79"/>
      <c r="AR444" s="322"/>
      <c r="AS444" s="79"/>
      <c r="AT444" s="322"/>
      <c r="AU444" s="325">
        <f t="shared" si="130"/>
        <v>0</v>
      </c>
      <c r="AV444" s="90">
        <f t="shared" si="140"/>
        <v>0</v>
      </c>
      <c r="AW444" s="324">
        <f t="shared" si="131"/>
        <v>0</v>
      </c>
      <c r="AX444" s="80">
        <f t="shared" si="141"/>
        <v>0</v>
      </c>
      <c r="AY444" s="326">
        <f t="shared" si="132"/>
        <v>154.8436111111111</v>
      </c>
      <c r="AZ444" s="80">
        <f t="shared" si="133"/>
        <v>153.5</v>
      </c>
    </row>
    <row r="445" spans="1:52">
      <c r="A445" s="174" t="s">
        <v>724</v>
      </c>
      <c r="B445" s="174" t="s">
        <v>744</v>
      </c>
      <c r="C445" s="175">
        <v>375708</v>
      </c>
      <c r="D445" s="176">
        <v>13</v>
      </c>
      <c r="E445" s="162" t="s">
        <v>442</v>
      </c>
      <c r="F445" s="163" t="s">
        <v>442</v>
      </c>
      <c r="G445" s="79"/>
      <c r="H445" s="322"/>
      <c r="I445" s="79"/>
      <c r="J445" s="322"/>
      <c r="K445" s="79"/>
      <c r="L445" s="322"/>
      <c r="M445" s="79"/>
      <c r="N445" s="322"/>
      <c r="O445" s="323">
        <f t="shared" si="124"/>
        <v>0</v>
      </c>
      <c r="P445" s="638">
        <f t="shared" si="134"/>
        <v>0</v>
      </c>
      <c r="Q445" s="322"/>
      <c r="R445" s="90">
        <f t="shared" si="138"/>
        <v>0</v>
      </c>
      <c r="S445" s="324">
        <f t="shared" si="125"/>
        <v>0</v>
      </c>
      <c r="T445" s="638">
        <f t="shared" si="135"/>
        <v>0</v>
      </c>
      <c r="U445" s="322"/>
      <c r="V445" s="80">
        <f t="shared" si="139"/>
        <v>0</v>
      </c>
      <c r="W445" s="79"/>
      <c r="X445" s="322"/>
      <c r="Y445" s="79"/>
      <c r="Z445" s="322"/>
      <c r="AA445" s="79"/>
      <c r="AB445" s="322"/>
      <c r="AC445" s="79">
        <v>189040.18</v>
      </c>
      <c r="AD445" s="322">
        <v>268212.71999999997</v>
      </c>
      <c r="AE445" s="323">
        <f t="shared" si="126"/>
        <v>189040.18</v>
      </c>
      <c r="AF445" s="638">
        <f t="shared" si="136"/>
        <v>0</v>
      </c>
      <c r="AG445" s="639" t="s">
        <v>949</v>
      </c>
      <c r="AH445" s="90">
        <f t="shared" si="127"/>
        <v>210.04464444444443</v>
      </c>
      <c r="AI445" s="80">
        <f t="shared" si="128"/>
        <v>268212.71999999997</v>
      </c>
      <c r="AJ445" s="638">
        <f t="shared" si="137"/>
        <v>0</v>
      </c>
      <c r="AK445" s="639" t="s">
        <v>949</v>
      </c>
      <c r="AL445" s="80">
        <f t="shared" si="129"/>
        <v>298.01413333333329</v>
      </c>
      <c r="AM445" s="79"/>
      <c r="AN445" s="322"/>
      <c r="AO445" s="79"/>
      <c r="AP445" s="322"/>
      <c r="AQ445" s="79"/>
      <c r="AR445" s="322"/>
      <c r="AS445" s="79"/>
      <c r="AT445" s="322"/>
      <c r="AU445" s="325">
        <f t="shared" si="130"/>
        <v>0</v>
      </c>
      <c r="AV445" s="90">
        <f t="shared" si="140"/>
        <v>0</v>
      </c>
      <c r="AW445" s="324">
        <f t="shared" si="131"/>
        <v>0</v>
      </c>
      <c r="AX445" s="80">
        <f t="shared" si="141"/>
        <v>0</v>
      </c>
      <c r="AY445" s="326">
        <f t="shared" si="132"/>
        <v>210.04464444444443</v>
      </c>
      <c r="AZ445" s="80">
        <f t="shared" si="133"/>
        <v>298.01413333333329</v>
      </c>
    </row>
    <row r="446" spans="1:52">
      <c r="A446" s="174" t="s">
        <v>724</v>
      </c>
      <c r="B446" s="174" t="s">
        <v>745</v>
      </c>
      <c r="C446" s="175">
        <v>375717</v>
      </c>
      <c r="D446" s="345">
        <v>13</v>
      </c>
      <c r="E446" s="162" t="s">
        <v>442</v>
      </c>
      <c r="F446" s="163" t="s">
        <v>442</v>
      </c>
      <c r="G446" s="79"/>
      <c r="H446" s="322"/>
      <c r="I446" s="79"/>
      <c r="J446" s="322"/>
      <c r="K446" s="79"/>
      <c r="L446" s="322"/>
      <c r="M446" s="79"/>
      <c r="N446" s="322"/>
      <c r="O446" s="323">
        <f t="shared" si="124"/>
        <v>0</v>
      </c>
      <c r="P446" s="638">
        <f t="shared" si="134"/>
        <v>0</v>
      </c>
      <c r="Q446" s="322"/>
      <c r="R446" s="90">
        <f t="shared" si="138"/>
        <v>0</v>
      </c>
      <c r="S446" s="324">
        <f t="shared" si="125"/>
        <v>0</v>
      </c>
      <c r="T446" s="638">
        <f t="shared" si="135"/>
        <v>0</v>
      </c>
      <c r="U446" s="322"/>
      <c r="V446" s="80">
        <f t="shared" si="139"/>
        <v>0</v>
      </c>
      <c r="W446" s="79"/>
      <c r="X446" s="322"/>
      <c r="Y446" s="79"/>
      <c r="Z446" s="322"/>
      <c r="AA446" s="79"/>
      <c r="AB446" s="322"/>
      <c r="AC446" s="79">
        <v>183408.5</v>
      </c>
      <c r="AD446" s="322">
        <v>164520.5</v>
      </c>
      <c r="AE446" s="323">
        <f t="shared" si="126"/>
        <v>183408.5</v>
      </c>
      <c r="AF446" s="638">
        <f t="shared" si="136"/>
        <v>0</v>
      </c>
      <c r="AG446" s="639" t="s">
        <v>949</v>
      </c>
      <c r="AH446" s="90">
        <f t="shared" si="127"/>
        <v>203.78722222222223</v>
      </c>
      <c r="AI446" s="80">
        <f t="shared" si="128"/>
        <v>164520.5</v>
      </c>
      <c r="AJ446" s="638">
        <f t="shared" si="137"/>
        <v>0</v>
      </c>
      <c r="AK446" s="639" t="s">
        <v>949</v>
      </c>
      <c r="AL446" s="80">
        <f t="shared" si="129"/>
        <v>182.80055555555555</v>
      </c>
      <c r="AM446" s="79"/>
      <c r="AN446" s="322"/>
      <c r="AO446" s="79"/>
      <c r="AP446" s="322"/>
      <c r="AQ446" s="79"/>
      <c r="AR446" s="322"/>
      <c r="AS446" s="79"/>
      <c r="AT446" s="322"/>
      <c r="AU446" s="325">
        <f t="shared" si="130"/>
        <v>0</v>
      </c>
      <c r="AV446" s="90">
        <f t="shared" si="140"/>
        <v>0</v>
      </c>
      <c r="AW446" s="324">
        <f t="shared" si="131"/>
        <v>0</v>
      </c>
      <c r="AX446" s="80">
        <f t="shared" si="141"/>
        <v>0</v>
      </c>
      <c r="AY446" s="326">
        <f t="shared" si="132"/>
        <v>203.78722222222223</v>
      </c>
      <c r="AZ446" s="80">
        <f t="shared" si="133"/>
        <v>182.80055555555555</v>
      </c>
    </row>
    <row r="447" spans="1:52">
      <c r="A447" s="174" t="s">
        <v>724</v>
      </c>
      <c r="B447" s="174" t="s">
        <v>746</v>
      </c>
      <c r="C447" s="175">
        <v>375735</v>
      </c>
      <c r="D447" s="345">
        <v>13</v>
      </c>
      <c r="E447" s="162" t="s">
        <v>442</v>
      </c>
      <c r="F447" s="163" t="s">
        <v>442</v>
      </c>
      <c r="G447" s="79"/>
      <c r="H447" s="322"/>
      <c r="I447" s="79"/>
      <c r="J447" s="322"/>
      <c r="K447" s="79"/>
      <c r="L447" s="322"/>
      <c r="M447" s="79"/>
      <c r="N447" s="322"/>
      <c r="O447" s="323">
        <f t="shared" si="124"/>
        <v>0</v>
      </c>
      <c r="P447" s="638">
        <f t="shared" si="134"/>
        <v>0</v>
      </c>
      <c r="Q447" s="322"/>
      <c r="R447" s="90">
        <f t="shared" si="138"/>
        <v>0</v>
      </c>
      <c r="S447" s="324">
        <f t="shared" si="125"/>
        <v>0</v>
      </c>
      <c r="T447" s="638">
        <f t="shared" si="135"/>
        <v>0</v>
      </c>
      <c r="U447" s="322"/>
      <c r="V447" s="80">
        <f t="shared" si="139"/>
        <v>0</v>
      </c>
      <c r="W447" s="79"/>
      <c r="X447" s="322"/>
      <c r="Y447" s="79"/>
      <c r="Z447" s="322"/>
      <c r="AA447" s="79"/>
      <c r="AB447" s="322"/>
      <c r="AC447" s="79">
        <v>182796.55</v>
      </c>
      <c r="AD447" s="322">
        <v>218790.5</v>
      </c>
      <c r="AE447" s="323">
        <f t="shared" si="126"/>
        <v>182796.55</v>
      </c>
      <c r="AF447" s="638">
        <f t="shared" si="136"/>
        <v>0</v>
      </c>
      <c r="AG447" s="639" t="s">
        <v>949</v>
      </c>
      <c r="AH447" s="90">
        <f t="shared" si="127"/>
        <v>203.10727777777777</v>
      </c>
      <c r="AI447" s="80">
        <f t="shared" si="128"/>
        <v>218790.5</v>
      </c>
      <c r="AJ447" s="638">
        <f t="shared" si="137"/>
        <v>0</v>
      </c>
      <c r="AK447" s="639" t="s">
        <v>949</v>
      </c>
      <c r="AL447" s="80">
        <f t="shared" si="129"/>
        <v>243.10055555555556</v>
      </c>
      <c r="AM447" s="79"/>
      <c r="AN447" s="322"/>
      <c r="AO447" s="79"/>
      <c r="AP447" s="322"/>
      <c r="AQ447" s="79"/>
      <c r="AR447" s="322"/>
      <c r="AS447" s="79"/>
      <c r="AT447" s="322"/>
      <c r="AU447" s="325">
        <f t="shared" si="130"/>
        <v>0</v>
      </c>
      <c r="AV447" s="90">
        <f t="shared" si="140"/>
        <v>0</v>
      </c>
      <c r="AW447" s="324">
        <f t="shared" si="131"/>
        <v>0</v>
      </c>
      <c r="AX447" s="80">
        <f t="shared" si="141"/>
        <v>0</v>
      </c>
      <c r="AY447" s="326">
        <f t="shared" si="132"/>
        <v>203.10727777777777</v>
      </c>
      <c r="AZ447" s="80">
        <f t="shared" si="133"/>
        <v>243.10055555555556</v>
      </c>
    </row>
    <row r="448" spans="1:52">
      <c r="A448" s="174" t="s">
        <v>724</v>
      </c>
      <c r="B448" s="174" t="s">
        <v>747</v>
      </c>
      <c r="C448" s="175">
        <v>375726</v>
      </c>
      <c r="D448" s="345">
        <v>13</v>
      </c>
      <c r="E448" s="162" t="s">
        <v>442</v>
      </c>
      <c r="F448" s="163" t="s">
        <v>442</v>
      </c>
      <c r="G448" s="79"/>
      <c r="H448" s="322"/>
      <c r="I448" s="79"/>
      <c r="J448" s="322"/>
      <c r="K448" s="79"/>
      <c r="L448" s="322"/>
      <c r="M448" s="79"/>
      <c r="N448" s="322"/>
      <c r="O448" s="323">
        <f t="shared" si="124"/>
        <v>0</v>
      </c>
      <c r="P448" s="638">
        <f t="shared" si="134"/>
        <v>0</v>
      </c>
      <c r="Q448" s="322"/>
      <c r="R448" s="90">
        <f t="shared" si="138"/>
        <v>0</v>
      </c>
      <c r="S448" s="324">
        <f t="shared" si="125"/>
        <v>0</v>
      </c>
      <c r="T448" s="638">
        <f t="shared" si="135"/>
        <v>0</v>
      </c>
      <c r="U448" s="322"/>
      <c r="V448" s="80">
        <f t="shared" si="139"/>
        <v>0</v>
      </c>
      <c r="W448" s="79"/>
      <c r="X448" s="322"/>
      <c r="Y448" s="79"/>
      <c r="Z448" s="322"/>
      <c r="AA448" s="79"/>
      <c r="AB448" s="322"/>
      <c r="AC448" s="79">
        <v>269356.75</v>
      </c>
      <c r="AD448" s="322">
        <v>283243</v>
      </c>
      <c r="AE448" s="323">
        <f t="shared" si="126"/>
        <v>269356.75</v>
      </c>
      <c r="AF448" s="638">
        <f t="shared" si="136"/>
        <v>0</v>
      </c>
      <c r="AG448" s="639" t="s">
        <v>949</v>
      </c>
      <c r="AH448" s="90">
        <f t="shared" si="127"/>
        <v>299.28527777777776</v>
      </c>
      <c r="AI448" s="80">
        <f t="shared" si="128"/>
        <v>283243</v>
      </c>
      <c r="AJ448" s="638">
        <f t="shared" si="137"/>
        <v>0</v>
      </c>
      <c r="AK448" s="639" t="s">
        <v>949</v>
      </c>
      <c r="AL448" s="80">
        <f t="shared" si="129"/>
        <v>314.71444444444444</v>
      </c>
      <c r="AM448" s="79"/>
      <c r="AN448" s="322"/>
      <c r="AO448" s="79"/>
      <c r="AP448" s="322"/>
      <c r="AQ448" s="79"/>
      <c r="AR448" s="322"/>
      <c r="AS448" s="79"/>
      <c r="AT448" s="322"/>
      <c r="AU448" s="325">
        <f t="shared" si="130"/>
        <v>0</v>
      </c>
      <c r="AV448" s="90">
        <f t="shared" si="140"/>
        <v>0</v>
      </c>
      <c r="AW448" s="324">
        <f t="shared" si="131"/>
        <v>0</v>
      </c>
      <c r="AX448" s="80">
        <f t="shared" si="141"/>
        <v>0</v>
      </c>
      <c r="AY448" s="326">
        <f t="shared" si="132"/>
        <v>299.28527777777776</v>
      </c>
      <c r="AZ448" s="80">
        <f t="shared" si="133"/>
        <v>314.71444444444444</v>
      </c>
    </row>
    <row r="449" spans="1:52">
      <c r="A449" s="174" t="s">
        <v>724</v>
      </c>
      <c r="B449" s="174" t="s">
        <v>748</v>
      </c>
      <c r="C449" s="175">
        <v>375744</v>
      </c>
      <c r="D449" s="176">
        <v>13</v>
      </c>
      <c r="E449" s="162" t="s">
        <v>442</v>
      </c>
      <c r="F449" s="163" t="s">
        <v>442</v>
      </c>
      <c r="G449" s="79"/>
      <c r="H449" s="322"/>
      <c r="I449" s="79"/>
      <c r="J449" s="322"/>
      <c r="K449" s="79"/>
      <c r="L449" s="322"/>
      <c r="M449" s="79"/>
      <c r="N449" s="322"/>
      <c r="O449" s="323">
        <f t="shared" si="124"/>
        <v>0</v>
      </c>
      <c r="P449" s="638">
        <f t="shared" si="134"/>
        <v>0</v>
      </c>
      <c r="Q449" s="322"/>
      <c r="R449" s="90">
        <f t="shared" si="138"/>
        <v>0</v>
      </c>
      <c r="S449" s="324">
        <f t="shared" si="125"/>
        <v>0</v>
      </c>
      <c r="T449" s="638">
        <f t="shared" si="135"/>
        <v>0</v>
      </c>
      <c r="U449" s="322"/>
      <c r="V449" s="80">
        <f t="shared" si="139"/>
        <v>0</v>
      </c>
      <c r="W449" s="79"/>
      <c r="X449" s="322"/>
      <c r="Y449" s="79"/>
      <c r="Z449" s="322"/>
      <c r="AA449" s="79"/>
      <c r="AB449" s="322"/>
      <c r="AC449" s="79">
        <v>262969.25</v>
      </c>
      <c r="AD449" s="322">
        <v>299304</v>
      </c>
      <c r="AE449" s="323">
        <f t="shared" si="126"/>
        <v>262969.25</v>
      </c>
      <c r="AF449" s="638">
        <f t="shared" si="136"/>
        <v>0</v>
      </c>
      <c r="AG449" s="639" t="s">
        <v>949</v>
      </c>
      <c r="AH449" s="90">
        <f t="shared" si="127"/>
        <v>292.18805555555554</v>
      </c>
      <c r="AI449" s="80">
        <f t="shared" si="128"/>
        <v>299304</v>
      </c>
      <c r="AJ449" s="638">
        <f t="shared" si="137"/>
        <v>0</v>
      </c>
      <c r="AK449" s="639" t="s">
        <v>949</v>
      </c>
      <c r="AL449" s="80">
        <f t="shared" si="129"/>
        <v>332.56</v>
      </c>
      <c r="AM449" s="79"/>
      <c r="AN449" s="322"/>
      <c r="AO449" s="79"/>
      <c r="AP449" s="322"/>
      <c r="AQ449" s="79"/>
      <c r="AR449" s="322"/>
      <c r="AS449" s="79"/>
      <c r="AT449" s="322"/>
      <c r="AU449" s="325">
        <f t="shared" si="130"/>
        <v>0</v>
      </c>
      <c r="AV449" s="90">
        <f t="shared" si="140"/>
        <v>0</v>
      </c>
      <c r="AW449" s="324">
        <f t="shared" si="131"/>
        <v>0</v>
      </c>
      <c r="AX449" s="80">
        <f t="shared" si="141"/>
        <v>0</v>
      </c>
      <c r="AY449" s="326">
        <f t="shared" si="132"/>
        <v>292.18805555555554</v>
      </c>
      <c r="AZ449" s="80">
        <f t="shared" si="133"/>
        <v>332.56</v>
      </c>
    </row>
    <row r="450" spans="1:52">
      <c r="A450" s="174" t="s">
        <v>724</v>
      </c>
      <c r="B450" s="174" t="s">
        <v>749</v>
      </c>
      <c r="C450" s="175">
        <v>375753</v>
      </c>
      <c r="D450" s="176">
        <v>13</v>
      </c>
      <c r="E450" s="162" t="s">
        <v>442</v>
      </c>
      <c r="F450" s="163" t="s">
        <v>442</v>
      </c>
      <c r="G450" s="79"/>
      <c r="H450" s="322"/>
      <c r="I450" s="79"/>
      <c r="J450" s="322"/>
      <c r="K450" s="79"/>
      <c r="L450" s="322"/>
      <c r="M450" s="79"/>
      <c r="N450" s="322"/>
      <c r="O450" s="323">
        <f t="shared" si="124"/>
        <v>0</v>
      </c>
      <c r="P450" s="638">
        <f t="shared" si="134"/>
        <v>0</v>
      </c>
      <c r="Q450" s="322"/>
      <c r="R450" s="90">
        <f t="shared" si="138"/>
        <v>0</v>
      </c>
      <c r="S450" s="324">
        <f t="shared" si="125"/>
        <v>0</v>
      </c>
      <c r="T450" s="638">
        <f t="shared" si="135"/>
        <v>0</v>
      </c>
      <c r="U450" s="322"/>
      <c r="V450" s="80">
        <f t="shared" si="139"/>
        <v>0</v>
      </c>
      <c r="W450" s="79"/>
      <c r="X450" s="322"/>
      <c r="Y450" s="79"/>
      <c r="Z450" s="322"/>
      <c r="AA450" s="79"/>
      <c r="AB450" s="322"/>
      <c r="AC450" s="79">
        <v>21777</v>
      </c>
      <c r="AD450" s="322">
        <v>32781</v>
      </c>
      <c r="AE450" s="323">
        <f t="shared" si="126"/>
        <v>21777</v>
      </c>
      <c r="AF450" s="638">
        <f t="shared" si="136"/>
        <v>0</v>
      </c>
      <c r="AG450" s="639" t="s">
        <v>949</v>
      </c>
      <c r="AH450" s="90">
        <f t="shared" si="127"/>
        <v>24.196666666666665</v>
      </c>
      <c r="AI450" s="80">
        <f t="shared" si="128"/>
        <v>32781</v>
      </c>
      <c r="AJ450" s="638">
        <f t="shared" si="137"/>
        <v>0</v>
      </c>
      <c r="AK450" s="639" t="s">
        <v>949</v>
      </c>
      <c r="AL450" s="80">
        <f t="shared" si="129"/>
        <v>36.423333333333332</v>
      </c>
      <c r="AM450" s="79"/>
      <c r="AN450" s="322"/>
      <c r="AO450" s="79"/>
      <c r="AP450" s="322"/>
      <c r="AQ450" s="79"/>
      <c r="AR450" s="322"/>
      <c r="AS450" s="79"/>
      <c r="AT450" s="322"/>
      <c r="AU450" s="325">
        <f t="shared" si="130"/>
        <v>0</v>
      </c>
      <c r="AV450" s="90">
        <f t="shared" si="140"/>
        <v>0</v>
      </c>
      <c r="AW450" s="324">
        <f t="shared" si="131"/>
        <v>0</v>
      </c>
      <c r="AX450" s="80">
        <f t="shared" si="141"/>
        <v>0</v>
      </c>
      <c r="AY450" s="326">
        <f t="shared" si="132"/>
        <v>24.196666666666665</v>
      </c>
      <c r="AZ450" s="80">
        <f t="shared" si="133"/>
        <v>36.423333333333332</v>
      </c>
    </row>
    <row r="451" spans="1:52">
      <c r="A451" s="174" t="s">
        <v>724</v>
      </c>
      <c r="B451" s="174" t="s">
        <v>750</v>
      </c>
      <c r="C451" s="175">
        <v>405748</v>
      </c>
      <c r="D451" s="176">
        <v>13</v>
      </c>
      <c r="E451" s="162" t="s">
        <v>442</v>
      </c>
      <c r="F451" s="163" t="s">
        <v>442</v>
      </c>
      <c r="G451" s="79"/>
      <c r="H451" s="322"/>
      <c r="I451" s="79"/>
      <c r="J451" s="322"/>
      <c r="K451" s="79"/>
      <c r="L451" s="322"/>
      <c r="M451" s="79"/>
      <c r="N451" s="322"/>
      <c r="O451" s="323">
        <f t="shared" si="124"/>
        <v>0</v>
      </c>
      <c r="P451" s="638">
        <f t="shared" si="134"/>
        <v>0</v>
      </c>
      <c r="Q451" s="322"/>
      <c r="R451" s="90">
        <f t="shared" si="138"/>
        <v>0</v>
      </c>
      <c r="S451" s="324">
        <f t="shared" si="125"/>
        <v>0</v>
      </c>
      <c r="T451" s="638">
        <f t="shared" si="135"/>
        <v>0</v>
      </c>
      <c r="U451" s="322"/>
      <c r="V451" s="80">
        <f t="shared" si="139"/>
        <v>0</v>
      </c>
      <c r="W451" s="79"/>
      <c r="X451" s="322"/>
      <c r="Y451" s="79"/>
      <c r="Z451" s="322"/>
      <c r="AA451" s="79"/>
      <c r="AB451" s="322"/>
      <c r="AC451" s="79">
        <v>78078.75</v>
      </c>
      <c r="AD451" s="322">
        <v>82830.25</v>
      </c>
      <c r="AE451" s="323">
        <f t="shared" si="126"/>
        <v>78078.75</v>
      </c>
      <c r="AF451" s="638">
        <f t="shared" si="136"/>
        <v>0</v>
      </c>
      <c r="AG451" s="639" t="s">
        <v>949</v>
      </c>
      <c r="AH451" s="90">
        <f t="shared" si="127"/>
        <v>86.754166666666663</v>
      </c>
      <c r="AI451" s="80">
        <f t="shared" si="128"/>
        <v>82830.25</v>
      </c>
      <c r="AJ451" s="638">
        <f t="shared" si="137"/>
        <v>0</v>
      </c>
      <c r="AK451" s="639" t="s">
        <v>949</v>
      </c>
      <c r="AL451" s="80">
        <f t="shared" si="129"/>
        <v>92.033611111111114</v>
      </c>
      <c r="AM451" s="79"/>
      <c r="AN451" s="322"/>
      <c r="AO451" s="79"/>
      <c r="AP451" s="322"/>
      <c r="AQ451" s="79"/>
      <c r="AR451" s="322"/>
      <c r="AS451" s="79"/>
      <c r="AT451" s="322"/>
      <c r="AU451" s="325">
        <f t="shared" si="130"/>
        <v>0</v>
      </c>
      <c r="AV451" s="90">
        <f t="shared" si="140"/>
        <v>0</v>
      </c>
      <c r="AW451" s="324">
        <f t="shared" si="131"/>
        <v>0</v>
      </c>
      <c r="AX451" s="80">
        <f t="shared" si="141"/>
        <v>0</v>
      </c>
      <c r="AY451" s="326">
        <f t="shared" si="132"/>
        <v>86.754166666666663</v>
      </c>
      <c r="AZ451" s="80">
        <f t="shared" si="133"/>
        <v>92.033611111111114</v>
      </c>
    </row>
    <row r="452" spans="1:52">
      <c r="A452" s="174" t="s">
        <v>724</v>
      </c>
      <c r="B452" s="174" t="s">
        <v>751</v>
      </c>
      <c r="C452" s="175">
        <v>375762</v>
      </c>
      <c r="D452" s="176">
        <v>13</v>
      </c>
      <c r="E452" s="162" t="s">
        <v>442</v>
      </c>
      <c r="F452" s="163" t="s">
        <v>442</v>
      </c>
      <c r="G452" s="79"/>
      <c r="H452" s="322"/>
      <c r="I452" s="79"/>
      <c r="J452" s="322"/>
      <c r="K452" s="79"/>
      <c r="L452" s="322"/>
      <c r="M452" s="79"/>
      <c r="N452" s="322"/>
      <c r="O452" s="323">
        <f t="shared" ref="O452:O515" si="142">SUM(G452,I452,K452,M452)</f>
        <v>0</v>
      </c>
      <c r="P452" s="638">
        <f t="shared" si="134"/>
        <v>0</v>
      </c>
      <c r="Q452" s="322"/>
      <c r="R452" s="90">
        <f t="shared" si="138"/>
        <v>0</v>
      </c>
      <c r="S452" s="324">
        <f t="shared" ref="S452:S515" si="143">SUM(H452,J452,L452,N452)</f>
        <v>0</v>
      </c>
      <c r="T452" s="638">
        <f t="shared" si="135"/>
        <v>0</v>
      </c>
      <c r="U452" s="322"/>
      <c r="V452" s="80">
        <f t="shared" si="139"/>
        <v>0</v>
      </c>
      <c r="W452" s="79"/>
      <c r="X452" s="322"/>
      <c r="Y452" s="79"/>
      <c r="Z452" s="322"/>
      <c r="AA452" s="79"/>
      <c r="AB452" s="322"/>
      <c r="AC452" s="79">
        <v>72117.25</v>
      </c>
      <c r="AD452" s="322">
        <v>111498</v>
      </c>
      <c r="AE452" s="323">
        <f t="shared" ref="AE452:AE515" si="144">SUM(W452,Y452,AA452,AC452)</f>
        <v>72117.25</v>
      </c>
      <c r="AF452" s="638">
        <f t="shared" si="136"/>
        <v>0</v>
      </c>
      <c r="AG452" s="639" t="s">
        <v>949</v>
      </c>
      <c r="AH452" s="90">
        <f t="shared" ref="AH452:AH515" si="145">+AE452/900</f>
        <v>80.130277777777778</v>
      </c>
      <c r="AI452" s="80">
        <f t="shared" ref="AI452:AI515" si="146">SUM(X452,Z452,AB452,AD452)</f>
        <v>111498</v>
      </c>
      <c r="AJ452" s="638">
        <f t="shared" si="137"/>
        <v>0</v>
      </c>
      <c r="AK452" s="639" t="s">
        <v>949</v>
      </c>
      <c r="AL452" s="80">
        <f t="shared" ref="AL452:AL515" si="147">+AI452/900</f>
        <v>123.88666666666667</v>
      </c>
      <c r="AM452" s="79"/>
      <c r="AN452" s="322"/>
      <c r="AO452" s="79"/>
      <c r="AP452" s="322"/>
      <c r="AQ452" s="79"/>
      <c r="AR452" s="322"/>
      <c r="AS452" s="79"/>
      <c r="AT452" s="322"/>
      <c r="AU452" s="325">
        <f t="shared" ref="AU452:AU515" si="148">SUM(AM452,AO452,AQ452,AS452)</f>
        <v>0</v>
      </c>
      <c r="AV452" s="90">
        <f t="shared" si="140"/>
        <v>0</v>
      </c>
      <c r="AW452" s="324">
        <f t="shared" ref="AW452:AW515" si="149">SUM(AN452,AP452,AR452,AT452)</f>
        <v>0</v>
      </c>
      <c r="AX452" s="80">
        <f t="shared" si="141"/>
        <v>0</v>
      </c>
      <c r="AY452" s="326">
        <f t="shared" ref="AY452:AY515" si="150">SUM(R452,AH452,AV452)</f>
        <v>80.130277777777778</v>
      </c>
      <c r="AZ452" s="80">
        <f t="shared" ref="AZ452:AZ515" si="151">SUM(V452,AL452,AX452)</f>
        <v>123.88666666666667</v>
      </c>
    </row>
    <row r="453" spans="1:52">
      <c r="A453" s="174" t="s">
        <v>724</v>
      </c>
      <c r="B453" s="174" t="s">
        <v>752</v>
      </c>
      <c r="C453" s="175">
        <v>365480</v>
      </c>
      <c r="D453" s="176">
        <v>13</v>
      </c>
      <c r="E453" s="162" t="s">
        <v>442</v>
      </c>
      <c r="F453" s="163" t="s">
        <v>442</v>
      </c>
      <c r="G453" s="79"/>
      <c r="H453" s="322"/>
      <c r="I453" s="79"/>
      <c r="J453" s="322"/>
      <c r="K453" s="79"/>
      <c r="L453" s="322"/>
      <c r="M453" s="79"/>
      <c r="N453" s="322"/>
      <c r="O453" s="323">
        <f t="shared" si="142"/>
        <v>0</v>
      </c>
      <c r="P453" s="638">
        <f t="shared" ref="P453:P516" si="152">IF(Q453="—",0,O453)</f>
        <v>0</v>
      </c>
      <c r="Q453" s="322"/>
      <c r="R453" s="90">
        <f t="shared" si="138"/>
        <v>0</v>
      </c>
      <c r="S453" s="324">
        <f t="shared" si="143"/>
        <v>0</v>
      </c>
      <c r="T453" s="638">
        <f t="shared" ref="T453:T516" si="153">IF(U453="—",0,S453)</f>
        <v>0</v>
      </c>
      <c r="U453" s="322"/>
      <c r="V453" s="80">
        <f t="shared" si="139"/>
        <v>0</v>
      </c>
      <c r="W453" s="79"/>
      <c r="X453" s="322"/>
      <c r="Y453" s="79"/>
      <c r="Z453" s="322"/>
      <c r="AA453" s="79"/>
      <c r="AB453" s="322"/>
      <c r="AC453" s="79">
        <v>501540.28</v>
      </c>
      <c r="AD453" s="322">
        <v>471353.1</v>
      </c>
      <c r="AE453" s="323">
        <f t="shared" si="144"/>
        <v>501540.28</v>
      </c>
      <c r="AF453" s="638">
        <f t="shared" ref="AF453:AF516" si="154">IF(AG453="—",0,AE453)</f>
        <v>0</v>
      </c>
      <c r="AG453" s="639" t="s">
        <v>949</v>
      </c>
      <c r="AH453" s="90">
        <f t="shared" si="145"/>
        <v>557.26697777777781</v>
      </c>
      <c r="AI453" s="80">
        <f t="shared" si="146"/>
        <v>471353.1</v>
      </c>
      <c r="AJ453" s="638">
        <f t="shared" ref="AJ453:AJ516" si="155">IF(AK453="—",0,AI453)</f>
        <v>0</v>
      </c>
      <c r="AK453" s="639" t="s">
        <v>949</v>
      </c>
      <c r="AL453" s="80">
        <f t="shared" si="147"/>
        <v>523.7256666666666</v>
      </c>
      <c r="AM453" s="79"/>
      <c r="AN453" s="322"/>
      <c r="AO453" s="79"/>
      <c r="AP453" s="322"/>
      <c r="AQ453" s="79"/>
      <c r="AR453" s="322"/>
      <c r="AS453" s="79"/>
      <c r="AT453" s="322"/>
      <c r="AU453" s="325">
        <f t="shared" si="148"/>
        <v>0</v>
      </c>
      <c r="AV453" s="90">
        <f t="shared" si="140"/>
        <v>0</v>
      </c>
      <c r="AW453" s="324">
        <f t="shared" si="149"/>
        <v>0</v>
      </c>
      <c r="AX453" s="80">
        <f t="shared" si="141"/>
        <v>0</v>
      </c>
      <c r="AY453" s="326">
        <f t="shared" si="150"/>
        <v>557.26697777777781</v>
      </c>
      <c r="AZ453" s="80">
        <f t="shared" si="151"/>
        <v>523.7256666666666</v>
      </c>
    </row>
    <row r="454" spans="1:52">
      <c r="A454" s="174" t="s">
        <v>724</v>
      </c>
      <c r="B454" s="174" t="s">
        <v>753</v>
      </c>
      <c r="C454" s="175">
        <v>418320</v>
      </c>
      <c r="D454" s="176">
        <v>13</v>
      </c>
      <c r="E454" s="162" t="s">
        <v>442</v>
      </c>
      <c r="F454" s="163" t="s">
        <v>442</v>
      </c>
      <c r="G454" s="79"/>
      <c r="H454" s="322"/>
      <c r="I454" s="79"/>
      <c r="J454" s="322"/>
      <c r="K454" s="79"/>
      <c r="L454" s="322"/>
      <c r="M454" s="79"/>
      <c r="N454" s="322"/>
      <c r="O454" s="323">
        <f t="shared" si="142"/>
        <v>0</v>
      </c>
      <c r="P454" s="638">
        <f t="shared" si="152"/>
        <v>0</v>
      </c>
      <c r="Q454" s="322"/>
      <c r="R454" s="90">
        <f t="shared" si="138"/>
        <v>0</v>
      </c>
      <c r="S454" s="324">
        <f t="shared" si="143"/>
        <v>0</v>
      </c>
      <c r="T454" s="638">
        <f t="shared" si="153"/>
        <v>0</v>
      </c>
      <c r="U454" s="322"/>
      <c r="V454" s="80">
        <f t="shared" si="139"/>
        <v>0</v>
      </c>
      <c r="W454" s="79"/>
      <c r="X454" s="322"/>
      <c r="Y454" s="79"/>
      <c r="Z454" s="322"/>
      <c r="AA454" s="79"/>
      <c r="AB454" s="322"/>
      <c r="AC454" s="79">
        <v>461855.5</v>
      </c>
      <c r="AD454" s="322">
        <v>448166.75</v>
      </c>
      <c r="AE454" s="323">
        <f t="shared" si="144"/>
        <v>461855.5</v>
      </c>
      <c r="AF454" s="638">
        <f t="shared" si="154"/>
        <v>0</v>
      </c>
      <c r="AG454" s="639" t="s">
        <v>949</v>
      </c>
      <c r="AH454" s="90">
        <f t="shared" si="145"/>
        <v>513.17277777777781</v>
      </c>
      <c r="AI454" s="80">
        <f t="shared" si="146"/>
        <v>448166.75</v>
      </c>
      <c r="AJ454" s="638">
        <f t="shared" si="155"/>
        <v>0</v>
      </c>
      <c r="AK454" s="639" t="s">
        <v>949</v>
      </c>
      <c r="AL454" s="80">
        <f t="shared" si="147"/>
        <v>497.96305555555557</v>
      </c>
      <c r="AM454" s="79"/>
      <c r="AN454" s="322"/>
      <c r="AO454" s="79"/>
      <c r="AP454" s="322"/>
      <c r="AQ454" s="79"/>
      <c r="AR454" s="322"/>
      <c r="AS454" s="79"/>
      <c r="AT454" s="322"/>
      <c r="AU454" s="325">
        <f t="shared" si="148"/>
        <v>0</v>
      </c>
      <c r="AV454" s="90">
        <f t="shared" si="140"/>
        <v>0</v>
      </c>
      <c r="AW454" s="324">
        <f t="shared" si="149"/>
        <v>0</v>
      </c>
      <c r="AX454" s="80">
        <f t="shared" si="141"/>
        <v>0</v>
      </c>
      <c r="AY454" s="326">
        <f t="shared" si="150"/>
        <v>513.17277777777781</v>
      </c>
      <c r="AZ454" s="80">
        <f t="shared" si="151"/>
        <v>497.96305555555557</v>
      </c>
    </row>
    <row r="455" spans="1:52">
      <c r="A455" s="174" t="s">
        <v>724</v>
      </c>
      <c r="B455" s="174" t="s">
        <v>754</v>
      </c>
      <c r="C455" s="175">
        <v>431017</v>
      </c>
      <c r="D455" s="176">
        <v>13</v>
      </c>
      <c r="E455" s="162" t="s">
        <v>442</v>
      </c>
      <c r="F455" s="163" t="s">
        <v>442</v>
      </c>
      <c r="G455" s="79"/>
      <c r="H455" s="322"/>
      <c r="I455" s="79"/>
      <c r="J455" s="322"/>
      <c r="K455" s="79"/>
      <c r="L455" s="322"/>
      <c r="M455" s="79"/>
      <c r="N455" s="322"/>
      <c r="O455" s="323">
        <f t="shared" si="142"/>
        <v>0</v>
      </c>
      <c r="P455" s="638">
        <f t="shared" si="152"/>
        <v>0</v>
      </c>
      <c r="Q455" s="322"/>
      <c r="R455" s="90">
        <f t="shared" si="138"/>
        <v>0</v>
      </c>
      <c r="S455" s="324">
        <f t="shared" si="143"/>
        <v>0</v>
      </c>
      <c r="T455" s="638">
        <f t="shared" si="153"/>
        <v>0</v>
      </c>
      <c r="U455" s="322"/>
      <c r="V455" s="80">
        <f t="shared" si="139"/>
        <v>0</v>
      </c>
      <c r="W455" s="79"/>
      <c r="X455" s="322"/>
      <c r="Y455" s="79"/>
      <c r="Z455" s="322"/>
      <c r="AA455" s="79"/>
      <c r="AB455" s="322"/>
      <c r="AC455" s="79">
        <v>532070.75</v>
      </c>
      <c r="AD455" s="322">
        <v>466376.75</v>
      </c>
      <c r="AE455" s="323">
        <f t="shared" si="144"/>
        <v>532070.75</v>
      </c>
      <c r="AF455" s="638">
        <f t="shared" si="154"/>
        <v>0</v>
      </c>
      <c r="AG455" s="639" t="s">
        <v>949</v>
      </c>
      <c r="AH455" s="90">
        <f t="shared" si="145"/>
        <v>591.18972222222226</v>
      </c>
      <c r="AI455" s="80">
        <f t="shared" si="146"/>
        <v>466376.75</v>
      </c>
      <c r="AJ455" s="638">
        <f t="shared" si="155"/>
        <v>0</v>
      </c>
      <c r="AK455" s="639" t="s">
        <v>949</v>
      </c>
      <c r="AL455" s="80">
        <f t="shared" si="147"/>
        <v>518.19638888888892</v>
      </c>
      <c r="AM455" s="79"/>
      <c r="AN455" s="322"/>
      <c r="AO455" s="79"/>
      <c r="AP455" s="322"/>
      <c r="AQ455" s="79"/>
      <c r="AR455" s="322"/>
      <c r="AS455" s="79"/>
      <c r="AT455" s="322"/>
      <c r="AU455" s="325">
        <f t="shared" si="148"/>
        <v>0</v>
      </c>
      <c r="AV455" s="90">
        <f t="shared" si="140"/>
        <v>0</v>
      </c>
      <c r="AW455" s="324">
        <f t="shared" si="149"/>
        <v>0</v>
      </c>
      <c r="AX455" s="80">
        <f t="shared" si="141"/>
        <v>0</v>
      </c>
      <c r="AY455" s="326">
        <f t="shared" si="150"/>
        <v>591.18972222222226</v>
      </c>
      <c r="AZ455" s="80">
        <f t="shared" si="151"/>
        <v>518.19638888888892</v>
      </c>
    </row>
    <row r="456" spans="1:52">
      <c r="A456" s="174" t="s">
        <v>724</v>
      </c>
      <c r="B456" s="174" t="s">
        <v>755</v>
      </c>
      <c r="C456" s="175">
        <v>420459</v>
      </c>
      <c r="D456" s="176">
        <v>13</v>
      </c>
      <c r="E456" s="162" t="s">
        <v>442</v>
      </c>
      <c r="F456" s="163" t="s">
        <v>442</v>
      </c>
      <c r="G456" s="79"/>
      <c r="H456" s="322"/>
      <c r="I456" s="79"/>
      <c r="J456" s="322"/>
      <c r="K456" s="79"/>
      <c r="L456" s="322"/>
      <c r="M456" s="79"/>
      <c r="N456" s="322"/>
      <c r="O456" s="323">
        <f t="shared" si="142"/>
        <v>0</v>
      </c>
      <c r="P456" s="638">
        <f t="shared" si="152"/>
        <v>0</v>
      </c>
      <c r="Q456" s="322"/>
      <c r="R456" s="90">
        <f t="shared" si="138"/>
        <v>0</v>
      </c>
      <c r="S456" s="324">
        <f t="shared" si="143"/>
        <v>0</v>
      </c>
      <c r="T456" s="638">
        <f t="shared" si="153"/>
        <v>0</v>
      </c>
      <c r="U456" s="322"/>
      <c r="V456" s="80">
        <f t="shared" si="139"/>
        <v>0</v>
      </c>
      <c r="W456" s="79"/>
      <c r="X456" s="322"/>
      <c r="Y456" s="79"/>
      <c r="Z456" s="322"/>
      <c r="AA456" s="79"/>
      <c r="AB456" s="322"/>
      <c r="AC456" s="79">
        <v>357506.25</v>
      </c>
      <c r="AD456" s="322">
        <v>352445.25</v>
      </c>
      <c r="AE456" s="323">
        <f t="shared" si="144"/>
        <v>357506.25</v>
      </c>
      <c r="AF456" s="638">
        <f t="shared" si="154"/>
        <v>0</v>
      </c>
      <c r="AG456" s="639" t="s">
        <v>949</v>
      </c>
      <c r="AH456" s="90">
        <f t="shared" si="145"/>
        <v>397.22916666666669</v>
      </c>
      <c r="AI456" s="80">
        <f t="shared" si="146"/>
        <v>352445.25</v>
      </c>
      <c r="AJ456" s="638">
        <f t="shared" si="155"/>
        <v>0</v>
      </c>
      <c r="AK456" s="639" t="s">
        <v>949</v>
      </c>
      <c r="AL456" s="80">
        <f t="shared" si="147"/>
        <v>391.60583333333335</v>
      </c>
      <c r="AM456" s="79"/>
      <c r="AN456" s="322"/>
      <c r="AO456" s="79"/>
      <c r="AP456" s="322"/>
      <c r="AQ456" s="79"/>
      <c r="AR456" s="322"/>
      <c r="AS456" s="79"/>
      <c r="AT456" s="322"/>
      <c r="AU456" s="325">
        <f t="shared" si="148"/>
        <v>0</v>
      </c>
      <c r="AV456" s="90">
        <f t="shared" si="140"/>
        <v>0</v>
      </c>
      <c r="AW456" s="324">
        <f t="shared" si="149"/>
        <v>0</v>
      </c>
      <c r="AX456" s="80">
        <f t="shared" si="141"/>
        <v>0</v>
      </c>
      <c r="AY456" s="326">
        <f t="shared" si="150"/>
        <v>397.22916666666669</v>
      </c>
      <c r="AZ456" s="80">
        <f t="shared" si="151"/>
        <v>391.60583333333335</v>
      </c>
    </row>
    <row r="457" spans="1:52">
      <c r="A457" s="174" t="s">
        <v>724</v>
      </c>
      <c r="B457" s="177" t="s">
        <v>756</v>
      </c>
      <c r="C457" s="178">
        <v>432074</v>
      </c>
      <c r="D457" s="176">
        <v>13</v>
      </c>
      <c r="E457" s="162" t="s">
        <v>442</v>
      </c>
      <c r="F457" s="163" t="s">
        <v>442</v>
      </c>
      <c r="G457" s="79"/>
      <c r="H457" s="322"/>
      <c r="I457" s="79"/>
      <c r="J457" s="322"/>
      <c r="K457" s="79"/>
      <c r="L457" s="322"/>
      <c r="M457" s="79"/>
      <c r="N457" s="322"/>
      <c r="O457" s="323">
        <f t="shared" si="142"/>
        <v>0</v>
      </c>
      <c r="P457" s="638">
        <f t="shared" si="152"/>
        <v>0</v>
      </c>
      <c r="Q457" s="322"/>
      <c r="R457" s="90">
        <f t="shared" si="138"/>
        <v>0</v>
      </c>
      <c r="S457" s="324">
        <f t="shared" si="143"/>
        <v>0</v>
      </c>
      <c r="T457" s="638">
        <f t="shared" si="153"/>
        <v>0</v>
      </c>
      <c r="U457" s="322"/>
      <c r="V457" s="80">
        <f t="shared" si="139"/>
        <v>0</v>
      </c>
      <c r="W457" s="79"/>
      <c r="X457" s="322"/>
      <c r="Y457" s="79"/>
      <c r="Z457" s="322"/>
      <c r="AA457" s="79"/>
      <c r="AB457" s="322"/>
      <c r="AC457" s="79">
        <v>141349.5</v>
      </c>
      <c r="AD457" s="322">
        <v>136361.45000000001</v>
      </c>
      <c r="AE457" s="323">
        <f t="shared" si="144"/>
        <v>141349.5</v>
      </c>
      <c r="AF457" s="638">
        <f t="shared" si="154"/>
        <v>0</v>
      </c>
      <c r="AG457" s="639" t="s">
        <v>949</v>
      </c>
      <c r="AH457" s="90">
        <f t="shared" si="145"/>
        <v>157.05500000000001</v>
      </c>
      <c r="AI457" s="80">
        <f t="shared" si="146"/>
        <v>136361.45000000001</v>
      </c>
      <c r="AJ457" s="638">
        <f t="shared" si="155"/>
        <v>0</v>
      </c>
      <c r="AK457" s="639" t="s">
        <v>949</v>
      </c>
      <c r="AL457" s="80">
        <f t="shared" si="147"/>
        <v>151.51272222222224</v>
      </c>
      <c r="AM457" s="79"/>
      <c r="AN457" s="322"/>
      <c r="AO457" s="79"/>
      <c r="AP457" s="322"/>
      <c r="AQ457" s="79"/>
      <c r="AR457" s="322"/>
      <c r="AS457" s="79"/>
      <c r="AT457" s="322"/>
      <c r="AU457" s="325">
        <f t="shared" si="148"/>
        <v>0</v>
      </c>
      <c r="AV457" s="90">
        <f t="shared" si="140"/>
        <v>0</v>
      </c>
      <c r="AW457" s="324">
        <f t="shared" si="149"/>
        <v>0</v>
      </c>
      <c r="AX457" s="80">
        <f t="shared" si="141"/>
        <v>0</v>
      </c>
      <c r="AY457" s="326">
        <f t="shared" si="150"/>
        <v>157.05500000000001</v>
      </c>
      <c r="AZ457" s="80">
        <f t="shared" si="151"/>
        <v>151.51272222222224</v>
      </c>
    </row>
    <row r="458" spans="1:52">
      <c r="A458" s="174" t="s">
        <v>724</v>
      </c>
      <c r="B458" s="177" t="s">
        <v>757</v>
      </c>
      <c r="C458" s="178">
        <v>418339</v>
      </c>
      <c r="D458" s="176">
        <v>13</v>
      </c>
      <c r="E458" s="162" t="s">
        <v>442</v>
      </c>
      <c r="F458" s="163" t="s">
        <v>442</v>
      </c>
      <c r="G458" s="79"/>
      <c r="H458" s="322"/>
      <c r="I458" s="79"/>
      <c r="J458" s="322"/>
      <c r="K458" s="79"/>
      <c r="L458" s="322"/>
      <c r="M458" s="79"/>
      <c r="N458" s="322"/>
      <c r="O458" s="323">
        <f t="shared" si="142"/>
        <v>0</v>
      </c>
      <c r="P458" s="638">
        <f t="shared" si="152"/>
        <v>0</v>
      </c>
      <c r="Q458" s="322"/>
      <c r="R458" s="90">
        <f t="shared" si="138"/>
        <v>0</v>
      </c>
      <c r="S458" s="324">
        <f t="shared" si="143"/>
        <v>0</v>
      </c>
      <c r="T458" s="638">
        <f t="shared" si="153"/>
        <v>0</v>
      </c>
      <c r="U458" s="322"/>
      <c r="V458" s="80">
        <f t="shared" si="139"/>
        <v>0</v>
      </c>
      <c r="W458" s="79"/>
      <c r="X458" s="322"/>
      <c r="Y458" s="79"/>
      <c r="Z458" s="322"/>
      <c r="AA458" s="79"/>
      <c r="AB458" s="322"/>
      <c r="AC458" s="79">
        <v>387785.75</v>
      </c>
      <c r="AD458" s="322">
        <v>401717.25</v>
      </c>
      <c r="AE458" s="323">
        <f t="shared" si="144"/>
        <v>387785.75</v>
      </c>
      <c r="AF458" s="638">
        <f t="shared" si="154"/>
        <v>0</v>
      </c>
      <c r="AG458" s="639" t="s">
        <v>949</v>
      </c>
      <c r="AH458" s="90">
        <f t="shared" si="145"/>
        <v>430.87305555555554</v>
      </c>
      <c r="AI458" s="80">
        <f t="shared" si="146"/>
        <v>401717.25</v>
      </c>
      <c r="AJ458" s="638">
        <f t="shared" si="155"/>
        <v>0</v>
      </c>
      <c r="AK458" s="639" t="s">
        <v>949</v>
      </c>
      <c r="AL458" s="80">
        <f t="shared" si="147"/>
        <v>446.35250000000002</v>
      </c>
      <c r="AM458" s="79"/>
      <c r="AN458" s="322"/>
      <c r="AO458" s="79"/>
      <c r="AP458" s="322"/>
      <c r="AQ458" s="79"/>
      <c r="AR458" s="322"/>
      <c r="AS458" s="79"/>
      <c r="AT458" s="322"/>
      <c r="AU458" s="325">
        <f t="shared" si="148"/>
        <v>0</v>
      </c>
      <c r="AV458" s="90">
        <f t="shared" si="140"/>
        <v>0</v>
      </c>
      <c r="AW458" s="324">
        <f t="shared" si="149"/>
        <v>0</v>
      </c>
      <c r="AX458" s="80">
        <f t="shared" si="141"/>
        <v>0</v>
      </c>
      <c r="AY458" s="326">
        <f t="shared" si="150"/>
        <v>430.87305555555554</v>
      </c>
      <c r="AZ458" s="80">
        <f t="shared" si="151"/>
        <v>446.35250000000002</v>
      </c>
    </row>
    <row r="459" spans="1:52">
      <c r="A459" s="174" t="s">
        <v>724</v>
      </c>
      <c r="B459" s="177" t="s">
        <v>758</v>
      </c>
      <c r="C459" s="178">
        <v>366623</v>
      </c>
      <c r="D459" s="176">
        <v>13</v>
      </c>
      <c r="E459" s="162" t="s">
        <v>442</v>
      </c>
      <c r="F459" s="163" t="s">
        <v>442</v>
      </c>
      <c r="G459" s="79"/>
      <c r="H459" s="322"/>
      <c r="I459" s="79"/>
      <c r="J459" s="322"/>
      <c r="K459" s="79"/>
      <c r="L459" s="322"/>
      <c r="M459" s="79"/>
      <c r="N459" s="322"/>
      <c r="O459" s="323">
        <f t="shared" si="142"/>
        <v>0</v>
      </c>
      <c r="P459" s="638">
        <f t="shared" si="152"/>
        <v>0</v>
      </c>
      <c r="Q459" s="322"/>
      <c r="R459" s="90">
        <f t="shared" si="138"/>
        <v>0</v>
      </c>
      <c r="S459" s="324">
        <f t="shared" si="143"/>
        <v>0</v>
      </c>
      <c r="T459" s="638">
        <f t="shared" si="153"/>
        <v>0</v>
      </c>
      <c r="U459" s="322"/>
      <c r="V459" s="80">
        <f t="shared" si="139"/>
        <v>0</v>
      </c>
      <c r="W459" s="79"/>
      <c r="X459" s="322"/>
      <c r="Y459" s="79"/>
      <c r="Z459" s="322"/>
      <c r="AA459" s="79"/>
      <c r="AB459" s="322"/>
      <c r="AC459" s="79">
        <v>83876.23</v>
      </c>
      <c r="AD459" s="322">
        <v>87422.5</v>
      </c>
      <c r="AE459" s="323">
        <f t="shared" si="144"/>
        <v>83876.23</v>
      </c>
      <c r="AF459" s="638">
        <f t="shared" si="154"/>
        <v>0</v>
      </c>
      <c r="AG459" s="639" t="s">
        <v>949</v>
      </c>
      <c r="AH459" s="90">
        <f t="shared" si="145"/>
        <v>93.195811111111112</v>
      </c>
      <c r="AI459" s="80">
        <f t="shared" si="146"/>
        <v>87422.5</v>
      </c>
      <c r="AJ459" s="638">
        <f t="shared" si="155"/>
        <v>0</v>
      </c>
      <c r="AK459" s="639" t="s">
        <v>949</v>
      </c>
      <c r="AL459" s="80">
        <f t="shared" si="147"/>
        <v>97.136111111111106</v>
      </c>
      <c r="AM459" s="79"/>
      <c r="AN459" s="322"/>
      <c r="AO459" s="79"/>
      <c r="AP459" s="322"/>
      <c r="AQ459" s="79"/>
      <c r="AR459" s="322"/>
      <c r="AS459" s="79"/>
      <c r="AT459" s="322"/>
      <c r="AU459" s="325">
        <f t="shared" si="148"/>
        <v>0</v>
      </c>
      <c r="AV459" s="90">
        <f t="shared" si="140"/>
        <v>0</v>
      </c>
      <c r="AW459" s="324">
        <f t="shared" si="149"/>
        <v>0</v>
      </c>
      <c r="AX459" s="80">
        <f t="shared" si="141"/>
        <v>0</v>
      </c>
      <c r="AY459" s="326">
        <f t="shared" si="150"/>
        <v>93.195811111111112</v>
      </c>
      <c r="AZ459" s="80">
        <f t="shared" si="151"/>
        <v>97.136111111111106</v>
      </c>
    </row>
    <row r="460" spans="1:52">
      <c r="A460" s="174" t="s">
        <v>724</v>
      </c>
      <c r="B460" s="177" t="s">
        <v>759</v>
      </c>
      <c r="C460" s="178">
        <v>407601</v>
      </c>
      <c r="D460" s="176">
        <v>13</v>
      </c>
      <c r="E460" s="162" t="s">
        <v>442</v>
      </c>
      <c r="F460" s="163" t="s">
        <v>442</v>
      </c>
      <c r="G460" s="79"/>
      <c r="H460" s="322"/>
      <c r="I460" s="79"/>
      <c r="J460" s="322"/>
      <c r="K460" s="79"/>
      <c r="L460" s="322"/>
      <c r="M460" s="79"/>
      <c r="N460" s="322"/>
      <c r="O460" s="323">
        <f t="shared" si="142"/>
        <v>0</v>
      </c>
      <c r="P460" s="638">
        <f t="shared" si="152"/>
        <v>0</v>
      </c>
      <c r="Q460" s="322"/>
      <c r="R460" s="90">
        <f t="shared" si="138"/>
        <v>0</v>
      </c>
      <c r="S460" s="324">
        <f t="shared" si="143"/>
        <v>0</v>
      </c>
      <c r="T460" s="638">
        <f t="shared" si="153"/>
        <v>0</v>
      </c>
      <c r="U460" s="322"/>
      <c r="V460" s="80">
        <f t="shared" si="139"/>
        <v>0</v>
      </c>
      <c r="W460" s="79"/>
      <c r="X460" s="322"/>
      <c r="Y460" s="79"/>
      <c r="Z460" s="322"/>
      <c r="AA460" s="79"/>
      <c r="AB460" s="322"/>
      <c r="AC460" s="79">
        <v>91790.97</v>
      </c>
      <c r="AD460" s="322">
        <v>79562</v>
      </c>
      <c r="AE460" s="323">
        <f t="shared" si="144"/>
        <v>91790.97</v>
      </c>
      <c r="AF460" s="638">
        <f t="shared" si="154"/>
        <v>0</v>
      </c>
      <c r="AG460" s="639" t="s">
        <v>949</v>
      </c>
      <c r="AH460" s="90">
        <f t="shared" si="145"/>
        <v>101.98996666666667</v>
      </c>
      <c r="AI460" s="80">
        <f t="shared" si="146"/>
        <v>79562</v>
      </c>
      <c r="AJ460" s="638">
        <f t="shared" si="155"/>
        <v>0</v>
      </c>
      <c r="AK460" s="639" t="s">
        <v>949</v>
      </c>
      <c r="AL460" s="80">
        <f t="shared" si="147"/>
        <v>88.402222222222221</v>
      </c>
      <c r="AM460" s="79"/>
      <c r="AN460" s="322"/>
      <c r="AO460" s="79"/>
      <c r="AP460" s="322"/>
      <c r="AQ460" s="79"/>
      <c r="AR460" s="322"/>
      <c r="AS460" s="79"/>
      <c r="AT460" s="322"/>
      <c r="AU460" s="325">
        <f t="shared" si="148"/>
        <v>0</v>
      </c>
      <c r="AV460" s="90">
        <f t="shared" si="140"/>
        <v>0</v>
      </c>
      <c r="AW460" s="324">
        <f t="shared" si="149"/>
        <v>0</v>
      </c>
      <c r="AX460" s="80">
        <f t="shared" si="141"/>
        <v>0</v>
      </c>
      <c r="AY460" s="326">
        <f t="shared" si="150"/>
        <v>101.98996666666667</v>
      </c>
      <c r="AZ460" s="80">
        <f t="shared" si="151"/>
        <v>88.402222222222221</v>
      </c>
    </row>
    <row r="461" spans="1:52">
      <c r="A461" s="174" t="s">
        <v>724</v>
      </c>
      <c r="B461" s="177" t="s">
        <v>760</v>
      </c>
      <c r="C461" s="178">
        <v>364627</v>
      </c>
      <c r="D461" s="176">
        <v>13</v>
      </c>
      <c r="E461" s="162" t="s">
        <v>442</v>
      </c>
      <c r="F461" s="163" t="s">
        <v>442</v>
      </c>
      <c r="G461" s="79"/>
      <c r="H461" s="322"/>
      <c r="I461" s="79"/>
      <c r="J461" s="322"/>
      <c r="K461" s="79"/>
      <c r="L461" s="322"/>
      <c r="M461" s="79"/>
      <c r="N461" s="322"/>
      <c r="O461" s="323">
        <f t="shared" si="142"/>
        <v>0</v>
      </c>
      <c r="P461" s="638">
        <f t="shared" si="152"/>
        <v>0</v>
      </c>
      <c r="Q461" s="322"/>
      <c r="R461" s="90">
        <f t="shared" si="138"/>
        <v>0</v>
      </c>
      <c r="S461" s="324">
        <f t="shared" si="143"/>
        <v>0</v>
      </c>
      <c r="T461" s="638">
        <f t="shared" si="153"/>
        <v>0</v>
      </c>
      <c r="U461" s="322"/>
      <c r="V461" s="80">
        <f t="shared" si="139"/>
        <v>0</v>
      </c>
      <c r="W461" s="79"/>
      <c r="X461" s="322"/>
      <c r="Y461" s="79"/>
      <c r="Z461" s="322"/>
      <c r="AA461" s="79"/>
      <c r="AB461" s="322"/>
      <c r="AC461" s="79">
        <v>342207.6</v>
      </c>
      <c r="AD461" s="322">
        <v>308258.5</v>
      </c>
      <c r="AE461" s="323">
        <f t="shared" si="144"/>
        <v>342207.6</v>
      </c>
      <c r="AF461" s="638">
        <f t="shared" si="154"/>
        <v>0</v>
      </c>
      <c r="AG461" s="639" t="s">
        <v>949</v>
      </c>
      <c r="AH461" s="90">
        <f t="shared" si="145"/>
        <v>380.23066666666665</v>
      </c>
      <c r="AI461" s="80">
        <f t="shared" si="146"/>
        <v>308258.5</v>
      </c>
      <c r="AJ461" s="638">
        <f t="shared" si="155"/>
        <v>0</v>
      </c>
      <c r="AK461" s="639" t="s">
        <v>949</v>
      </c>
      <c r="AL461" s="80">
        <f t="shared" si="147"/>
        <v>342.50944444444445</v>
      </c>
      <c r="AM461" s="79"/>
      <c r="AN461" s="322"/>
      <c r="AO461" s="79"/>
      <c r="AP461" s="322"/>
      <c r="AQ461" s="79"/>
      <c r="AR461" s="322"/>
      <c r="AS461" s="79"/>
      <c r="AT461" s="322"/>
      <c r="AU461" s="325">
        <f t="shared" si="148"/>
        <v>0</v>
      </c>
      <c r="AV461" s="90">
        <f t="shared" si="140"/>
        <v>0</v>
      </c>
      <c r="AW461" s="324">
        <f t="shared" si="149"/>
        <v>0</v>
      </c>
      <c r="AX461" s="80">
        <f t="shared" si="141"/>
        <v>0</v>
      </c>
      <c r="AY461" s="326">
        <f t="shared" si="150"/>
        <v>380.23066666666665</v>
      </c>
      <c r="AZ461" s="80">
        <f t="shared" si="151"/>
        <v>342.50944444444445</v>
      </c>
    </row>
    <row r="462" spans="1:52">
      <c r="A462" s="174" t="s">
        <v>724</v>
      </c>
      <c r="B462" s="177" t="s">
        <v>761</v>
      </c>
      <c r="C462" s="178">
        <v>206905</v>
      </c>
      <c r="D462" s="176">
        <v>13</v>
      </c>
      <c r="E462" s="162" t="s">
        <v>442</v>
      </c>
      <c r="F462" s="163" t="s">
        <v>442</v>
      </c>
      <c r="G462" s="79"/>
      <c r="H462" s="322"/>
      <c r="I462" s="79"/>
      <c r="J462" s="322"/>
      <c r="K462" s="79"/>
      <c r="L462" s="322"/>
      <c r="M462" s="79"/>
      <c r="N462" s="322"/>
      <c r="O462" s="323">
        <f t="shared" si="142"/>
        <v>0</v>
      </c>
      <c r="P462" s="638">
        <f t="shared" si="152"/>
        <v>0</v>
      </c>
      <c r="Q462" s="322"/>
      <c r="R462" s="90">
        <f t="shared" si="138"/>
        <v>0</v>
      </c>
      <c r="S462" s="324">
        <f t="shared" si="143"/>
        <v>0</v>
      </c>
      <c r="T462" s="638">
        <f t="shared" si="153"/>
        <v>0</v>
      </c>
      <c r="U462" s="322"/>
      <c r="V462" s="80">
        <f t="shared" si="139"/>
        <v>0</v>
      </c>
      <c r="W462" s="79"/>
      <c r="X462" s="322"/>
      <c r="Y462" s="79"/>
      <c r="Z462" s="322"/>
      <c r="AA462" s="79"/>
      <c r="AB462" s="322"/>
      <c r="AC462" s="79">
        <v>264984.75</v>
      </c>
      <c r="AD462" s="322">
        <v>227996.65</v>
      </c>
      <c r="AE462" s="323">
        <f t="shared" si="144"/>
        <v>264984.75</v>
      </c>
      <c r="AF462" s="638">
        <f t="shared" si="154"/>
        <v>0</v>
      </c>
      <c r="AG462" s="639" t="s">
        <v>949</v>
      </c>
      <c r="AH462" s="90">
        <f t="shared" si="145"/>
        <v>294.42750000000001</v>
      </c>
      <c r="AI462" s="80">
        <f t="shared" si="146"/>
        <v>227996.65</v>
      </c>
      <c r="AJ462" s="638">
        <f t="shared" si="155"/>
        <v>0</v>
      </c>
      <c r="AK462" s="639" t="s">
        <v>949</v>
      </c>
      <c r="AL462" s="80">
        <f t="shared" si="147"/>
        <v>253.32961111111109</v>
      </c>
      <c r="AM462" s="79"/>
      <c r="AN462" s="322"/>
      <c r="AO462" s="79"/>
      <c r="AP462" s="322"/>
      <c r="AQ462" s="79"/>
      <c r="AR462" s="322"/>
      <c r="AS462" s="79"/>
      <c r="AT462" s="322"/>
      <c r="AU462" s="325">
        <f t="shared" si="148"/>
        <v>0</v>
      </c>
      <c r="AV462" s="90">
        <f t="shared" si="140"/>
        <v>0</v>
      </c>
      <c r="AW462" s="324">
        <f t="shared" si="149"/>
        <v>0</v>
      </c>
      <c r="AX462" s="80">
        <f t="shared" si="141"/>
        <v>0</v>
      </c>
      <c r="AY462" s="326">
        <f t="shared" si="150"/>
        <v>294.42750000000001</v>
      </c>
      <c r="AZ462" s="80">
        <f t="shared" si="151"/>
        <v>253.32961111111109</v>
      </c>
    </row>
    <row r="463" spans="1:52">
      <c r="A463" s="174" t="s">
        <v>724</v>
      </c>
      <c r="B463" s="177" t="s">
        <v>762</v>
      </c>
      <c r="C463" s="178">
        <v>250993</v>
      </c>
      <c r="D463" s="176">
        <v>13</v>
      </c>
      <c r="E463" s="162" t="s">
        <v>442</v>
      </c>
      <c r="F463" s="163" t="s">
        <v>442</v>
      </c>
      <c r="G463" s="79"/>
      <c r="H463" s="322"/>
      <c r="I463" s="79"/>
      <c r="J463" s="322"/>
      <c r="K463" s="79"/>
      <c r="L463" s="322"/>
      <c r="M463" s="79"/>
      <c r="N463" s="322"/>
      <c r="O463" s="323">
        <f t="shared" si="142"/>
        <v>0</v>
      </c>
      <c r="P463" s="638">
        <f t="shared" si="152"/>
        <v>0</v>
      </c>
      <c r="Q463" s="322"/>
      <c r="R463" s="90">
        <f t="shared" si="138"/>
        <v>0</v>
      </c>
      <c r="S463" s="324">
        <f t="shared" si="143"/>
        <v>0</v>
      </c>
      <c r="T463" s="638">
        <f t="shared" si="153"/>
        <v>0</v>
      </c>
      <c r="U463" s="322"/>
      <c r="V463" s="80">
        <f t="shared" si="139"/>
        <v>0</v>
      </c>
      <c r="W463" s="79"/>
      <c r="X463" s="322"/>
      <c r="Y463" s="79"/>
      <c r="Z463" s="322"/>
      <c r="AA463" s="79"/>
      <c r="AB463" s="322"/>
      <c r="AC463" s="79">
        <v>288732</v>
      </c>
      <c r="AD463" s="322">
        <v>282972.75</v>
      </c>
      <c r="AE463" s="323">
        <f t="shared" si="144"/>
        <v>288732</v>
      </c>
      <c r="AF463" s="638">
        <f t="shared" si="154"/>
        <v>0</v>
      </c>
      <c r="AG463" s="639" t="s">
        <v>949</v>
      </c>
      <c r="AH463" s="90">
        <f t="shared" si="145"/>
        <v>320.81333333333333</v>
      </c>
      <c r="AI463" s="80">
        <f t="shared" si="146"/>
        <v>282972.75</v>
      </c>
      <c r="AJ463" s="638">
        <f t="shared" si="155"/>
        <v>0</v>
      </c>
      <c r="AK463" s="639" t="s">
        <v>949</v>
      </c>
      <c r="AL463" s="80">
        <f t="shared" si="147"/>
        <v>314.41416666666669</v>
      </c>
      <c r="AM463" s="79"/>
      <c r="AN463" s="322"/>
      <c r="AO463" s="79"/>
      <c r="AP463" s="322"/>
      <c r="AQ463" s="79"/>
      <c r="AR463" s="322"/>
      <c r="AS463" s="79"/>
      <c r="AT463" s="322"/>
      <c r="AU463" s="325">
        <f t="shared" si="148"/>
        <v>0</v>
      </c>
      <c r="AV463" s="90">
        <f t="shared" si="140"/>
        <v>0</v>
      </c>
      <c r="AW463" s="324">
        <f t="shared" si="149"/>
        <v>0</v>
      </c>
      <c r="AX463" s="80">
        <f t="shared" si="141"/>
        <v>0</v>
      </c>
      <c r="AY463" s="326">
        <f t="shared" si="150"/>
        <v>320.81333333333333</v>
      </c>
      <c r="AZ463" s="80">
        <f t="shared" si="151"/>
        <v>314.41416666666669</v>
      </c>
    </row>
    <row r="464" spans="1:52">
      <c r="A464" s="174" t="s">
        <v>724</v>
      </c>
      <c r="B464" s="177" t="s">
        <v>763</v>
      </c>
      <c r="C464" s="178">
        <v>365198</v>
      </c>
      <c r="D464" s="176">
        <v>13</v>
      </c>
      <c r="E464" s="162" t="s">
        <v>442</v>
      </c>
      <c r="F464" s="163" t="s">
        <v>442</v>
      </c>
      <c r="G464" s="79"/>
      <c r="H464" s="322"/>
      <c r="I464" s="79"/>
      <c r="J464" s="322"/>
      <c r="K464" s="79"/>
      <c r="L464" s="322"/>
      <c r="M464" s="79"/>
      <c r="N464" s="322"/>
      <c r="O464" s="323">
        <f t="shared" si="142"/>
        <v>0</v>
      </c>
      <c r="P464" s="638">
        <f t="shared" si="152"/>
        <v>0</v>
      </c>
      <c r="Q464" s="322"/>
      <c r="R464" s="90">
        <f t="shared" si="138"/>
        <v>0</v>
      </c>
      <c r="S464" s="324">
        <f t="shared" si="143"/>
        <v>0</v>
      </c>
      <c r="T464" s="638">
        <f t="shared" si="153"/>
        <v>0</v>
      </c>
      <c r="U464" s="322"/>
      <c r="V464" s="80">
        <f t="shared" si="139"/>
        <v>0</v>
      </c>
      <c r="W464" s="79"/>
      <c r="X464" s="322"/>
      <c r="Y464" s="79"/>
      <c r="Z464" s="322"/>
      <c r="AA464" s="79"/>
      <c r="AB464" s="322"/>
      <c r="AC464" s="79">
        <v>368533</v>
      </c>
      <c r="AD464" s="322">
        <v>344932</v>
      </c>
      <c r="AE464" s="323">
        <f t="shared" si="144"/>
        <v>368533</v>
      </c>
      <c r="AF464" s="638">
        <f t="shared" si="154"/>
        <v>0</v>
      </c>
      <c r="AG464" s="639" t="s">
        <v>949</v>
      </c>
      <c r="AH464" s="90">
        <f t="shared" si="145"/>
        <v>409.48111111111109</v>
      </c>
      <c r="AI464" s="80">
        <f t="shared" si="146"/>
        <v>344932</v>
      </c>
      <c r="AJ464" s="638">
        <f t="shared" si="155"/>
        <v>0</v>
      </c>
      <c r="AK464" s="639" t="s">
        <v>949</v>
      </c>
      <c r="AL464" s="80">
        <f t="shared" si="147"/>
        <v>383.25777777777779</v>
      </c>
      <c r="AM464" s="79"/>
      <c r="AN464" s="322"/>
      <c r="AO464" s="79"/>
      <c r="AP464" s="322"/>
      <c r="AQ464" s="79"/>
      <c r="AR464" s="322"/>
      <c r="AS464" s="79"/>
      <c r="AT464" s="322"/>
      <c r="AU464" s="325">
        <f t="shared" si="148"/>
        <v>0</v>
      </c>
      <c r="AV464" s="90">
        <f t="shared" si="140"/>
        <v>0</v>
      </c>
      <c r="AW464" s="324">
        <f t="shared" si="149"/>
        <v>0</v>
      </c>
      <c r="AX464" s="80">
        <f t="shared" si="141"/>
        <v>0</v>
      </c>
      <c r="AY464" s="326">
        <f t="shared" si="150"/>
        <v>409.48111111111109</v>
      </c>
      <c r="AZ464" s="80">
        <f t="shared" si="151"/>
        <v>383.25777777777779</v>
      </c>
    </row>
    <row r="465" spans="1:52">
      <c r="A465" s="174" t="s">
        <v>724</v>
      </c>
      <c r="B465" s="177" t="s">
        <v>764</v>
      </c>
      <c r="C465" s="178">
        <v>368364</v>
      </c>
      <c r="D465" s="176">
        <v>13</v>
      </c>
      <c r="E465" s="162" t="s">
        <v>442</v>
      </c>
      <c r="F465" s="163" t="s">
        <v>442</v>
      </c>
      <c r="G465" s="79"/>
      <c r="H465" s="322"/>
      <c r="I465" s="79"/>
      <c r="J465" s="322"/>
      <c r="K465" s="79"/>
      <c r="L465" s="322"/>
      <c r="M465" s="79"/>
      <c r="N465" s="322"/>
      <c r="O465" s="323">
        <f t="shared" si="142"/>
        <v>0</v>
      </c>
      <c r="P465" s="638">
        <f t="shared" si="152"/>
        <v>0</v>
      </c>
      <c r="Q465" s="322"/>
      <c r="R465" s="90">
        <f t="shared" si="138"/>
        <v>0</v>
      </c>
      <c r="S465" s="324">
        <f t="shared" si="143"/>
        <v>0</v>
      </c>
      <c r="T465" s="638">
        <f t="shared" si="153"/>
        <v>0</v>
      </c>
      <c r="U465" s="322"/>
      <c r="V465" s="80">
        <f t="shared" si="139"/>
        <v>0</v>
      </c>
      <c r="W465" s="79"/>
      <c r="X465" s="322"/>
      <c r="Y465" s="79"/>
      <c r="Z465" s="322"/>
      <c r="AA465" s="79"/>
      <c r="AB465" s="322"/>
      <c r="AC465" s="79">
        <v>221500.1</v>
      </c>
      <c r="AD465" s="322">
        <v>180908.98</v>
      </c>
      <c r="AE465" s="323">
        <f t="shared" si="144"/>
        <v>221500.1</v>
      </c>
      <c r="AF465" s="638">
        <f t="shared" si="154"/>
        <v>0</v>
      </c>
      <c r="AG465" s="639" t="s">
        <v>949</v>
      </c>
      <c r="AH465" s="90">
        <f t="shared" si="145"/>
        <v>246.11122222222224</v>
      </c>
      <c r="AI465" s="80">
        <f t="shared" si="146"/>
        <v>180908.98</v>
      </c>
      <c r="AJ465" s="638">
        <f t="shared" si="155"/>
        <v>0</v>
      </c>
      <c r="AK465" s="639" t="s">
        <v>949</v>
      </c>
      <c r="AL465" s="80">
        <f t="shared" si="147"/>
        <v>201.00997777777778</v>
      </c>
      <c r="AM465" s="79"/>
      <c r="AN465" s="322"/>
      <c r="AO465" s="79"/>
      <c r="AP465" s="322"/>
      <c r="AQ465" s="79"/>
      <c r="AR465" s="322"/>
      <c r="AS465" s="79"/>
      <c r="AT465" s="322"/>
      <c r="AU465" s="325">
        <f t="shared" si="148"/>
        <v>0</v>
      </c>
      <c r="AV465" s="90">
        <f t="shared" si="140"/>
        <v>0</v>
      </c>
      <c r="AW465" s="324">
        <f t="shared" si="149"/>
        <v>0</v>
      </c>
      <c r="AX465" s="80">
        <f t="shared" si="141"/>
        <v>0</v>
      </c>
      <c r="AY465" s="326">
        <f t="shared" si="150"/>
        <v>246.11122222222224</v>
      </c>
      <c r="AZ465" s="80">
        <f t="shared" si="151"/>
        <v>201.00997777777778</v>
      </c>
    </row>
    <row r="466" spans="1:52">
      <c r="A466" s="174" t="s">
        <v>724</v>
      </c>
      <c r="B466" s="177" t="s">
        <v>765</v>
      </c>
      <c r="C466" s="178">
        <v>418287</v>
      </c>
      <c r="D466" s="176">
        <v>13</v>
      </c>
      <c r="E466" s="162" t="s">
        <v>442</v>
      </c>
      <c r="F466" s="163" t="s">
        <v>442</v>
      </c>
      <c r="G466" s="79"/>
      <c r="H466" s="322"/>
      <c r="I466" s="79"/>
      <c r="J466" s="322"/>
      <c r="K466" s="79"/>
      <c r="L466" s="322"/>
      <c r="M466" s="79"/>
      <c r="N466" s="322"/>
      <c r="O466" s="323">
        <f t="shared" si="142"/>
        <v>0</v>
      </c>
      <c r="P466" s="638">
        <f t="shared" si="152"/>
        <v>0</v>
      </c>
      <c r="Q466" s="322"/>
      <c r="R466" s="90">
        <f t="shared" si="138"/>
        <v>0</v>
      </c>
      <c r="S466" s="324">
        <f t="shared" si="143"/>
        <v>0</v>
      </c>
      <c r="T466" s="638">
        <f t="shared" si="153"/>
        <v>0</v>
      </c>
      <c r="U466" s="322"/>
      <c r="V466" s="80">
        <f t="shared" si="139"/>
        <v>0</v>
      </c>
      <c r="W466" s="79"/>
      <c r="X466" s="322"/>
      <c r="Y466" s="79"/>
      <c r="Z466" s="322"/>
      <c r="AA466" s="79"/>
      <c r="AB466" s="322"/>
      <c r="AC466" s="79">
        <v>435214</v>
      </c>
      <c r="AD466" s="322">
        <v>392395.8</v>
      </c>
      <c r="AE466" s="323">
        <f t="shared" si="144"/>
        <v>435214</v>
      </c>
      <c r="AF466" s="638">
        <f t="shared" si="154"/>
        <v>0</v>
      </c>
      <c r="AG466" s="639" t="s">
        <v>949</v>
      </c>
      <c r="AH466" s="90">
        <f t="shared" si="145"/>
        <v>483.57111111111112</v>
      </c>
      <c r="AI466" s="80">
        <f t="shared" si="146"/>
        <v>392395.8</v>
      </c>
      <c r="AJ466" s="638">
        <f t="shared" si="155"/>
        <v>0</v>
      </c>
      <c r="AK466" s="639" t="s">
        <v>949</v>
      </c>
      <c r="AL466" s="80">
        <f t="shared" si="147"/>
        <v>435.99533333333329</v>
      </c>
      <c r="AM466" s="79"/>
      <c r="AN466" s="322"/>
      <c r="AO466" s="79"/>
      <c r="AP466" s="322"/>
      <c r="AQ466" s="79"/>
      <c r="AR466" s="322"/>
      <c r="AS466" s="79"/>
      <c r="AT466" s="322"/>
      <c r="AU466" s="325">
        <f t="shared" si="148"/>
        <v>0</v>
      </c>
      <c r="AV466" s="90">
        <f t="shared" si="140"/>
        <v>0</v>
      </c>
      <c r="AW466" s="324">
        <f t="shared" si="149"/>
        <v>0</v>
      </c>
      <c r="AX466" s="80">
        <f t="shared" si="141"/>
        <v>0</v>
      </c>
      <c r="AY466" s="326">
        <f t="shared" si="150"/>
        <v>483.57111111111112</v>
      </c>
      <c r="AZ466" s="80">
        <f t="shared" si="151"/>
        <v>435.99533333333329</v>
      </c>
    </row>
    <row r="467" spans="1:52">
      <c r="A467" s="174" t="s">
        <v>724</v>
      </c>
      <c r="B467" s="177" t="s">
        <v>766</v>
      </c>
      <c r="C467" s="178">
        <v>207607</v>
      </c>
      <c r="D467" s="176">
        <v>13</v>
      </c>
      <c r="E467" s="162" t="s">
        <v>442</v>
      </c>
      <c r="F467" s="163" t="s">
        <v>442</v>
      </c>
      <c r="G467" s="79"/>
      <c r="H467" s="322"/>
      <c r="I467" s="79"/>
      <c r="J467" s="322"/>
      <c r="K467" s="79"/>
      <c r="L467" s="322"/>
      <c r="M467" s="79"/>
      <c r="N467" s="322"/>
      <c r="O467" s="323">
        <f t="shared" si="142"/>
        <v>0</v>
      </c>
      <c r="P467" s="638">
        <f t="shared" si="152"/>
        <v>0</v>
      </c>
      <c r="Q467" s="322"/>
      <c r="R467" s="90">
        <f t="shared" si="138"/>
        <v>0</v>
      </c>
      <c r="S467" s="324">
        <f t="shared" si="143"/>
        <v>0</v>
      </c>
      <c r="T467" s="638">
        <f t="shared" si="153"/>
        <v>0</v>
      </c>
      <c r="U467" s="322"/>
      <c r="V467" s="80">
        <f t="shared" si="139"/>
        <v>0</v>
      </c>
      <c r="W467" s="79"/>
      <c r="X467" s="322"/>
      <c r="Y467" s="79"/>
      <c r="Z467" s="322"/>
      <c r="AA467" s="79"/>
      <c r="AB467" s="322"/>
      <c r="AC467" s="79">
        <v>459052</v>
      </c>
      <c r="AD467" s="322">
        <v>374840.25</v>
      </c>
      <c r="AE467" s="323">
        <f t="shared" si="144"/>
        <v>459052</v>
      </c>
      <c r="AF467" s="638">
        <f t="shared" si="154"/>
        <v>0</v>
      </c>
      <c r="AG467" s="639" t="s">
        <v>949</v>
      </c>
      <c r="AH467" s="90">
        <f t="shared" si="145"/>
        <v>510.0577777777778</v>
      </c>
      <c r="AI467" s="80">
        <f t="shared" si="146"/>
        <v>374840.25</v>
      </c>
      <c r="AJ467" s="638">
        <f t="shared" si="155"/>
        <v>0</v>
      </c>
      <c r="AK467" s="639" t="s">
        <v>949</v>
      </c>
      <c r="AL467" s="80">
        <f t="shared" si="147"/>
        <v>416.48916666666668</v>
      </c>
      <c r="AM467" s="79"/>
      <c r="AN467" s="322"/>
      <c r="AO467" s="79"/>
      <c r="AP467" s="322"/>
      <c r="AQ467" s="79"/>
      <c r="AR467" s="322"/>
      <c r="AS467" s="79"/>
      <c r="AT467" s="322"/>
      <c r="AU467" s="325">
        <f t="shared" si="148"/>
        <v>0</v>
      </c>
      <c r="AV467" s="90">
        <f t="shared" si="140"/>
        <v>0</v>
      </c>
      <c r="AW467" s="324">
        <f t="shared" si="149"/>
        <v>0</v>
      </c>
      <c r="AX467" s="80">
        <f t="shared" si="141"/>
        <v>0</v>
      </c>
      <c r="AY467" s="326">
        <f t="shared" si="150"/>
        <v>510.0577777777778</v>
      </c>
      <c r="AZ467" s="80">
        <f t="shared" si="151"/>
        <v>416.48916666666668</v>
      </c>
    </row>
    <row r="468" spans="1:52">
      <c r="A468" s="174" t="s">
        <v>724</v>
      </c>
      <c r="B468" s="177" t="s">
        <v>767</v>
      </c>
      <c r="C468" s="178">
        <v>261375</v>
      </c>
      <c r="D468" s="176">
        <v>13</v>
      </c>
      <c r="E468" s="162" t="s">
        <v>442</v>
      </c>
      <c r="F468" s="163" t="s">
        <v>442</v>
      </c>
      <c r="G468" s="79"/>
      <c r="H468" s="322"/>
      <c r="I468" s="79"/>
      <c r="J468" s="322"/>
      <c r="K468" s="79"/>
      <c r="L468" s="322"/>
      <c r="M468" s="79"/>
      <c r="N468" s="322"/>
      <c r="O468" s="323">
        <f t="shared" si="142"/>
        <v>0</v>
      </c>
      <c r="P468" s="638">
        <f t="shared" si="152"/>
        <v>0</v>
      </c>
      <c r="Q468" s="322"/>
      <c r="R468" s="90">
        <f t="shared" ref="R468:R531" si="156">+O468/30</f>
        <v>0</v>
      </c>
      <c r="S468" s="324">
        <f t="shared" si="143"/>
        <v>0</v>
      </c>
      <c r="T468" s="638">
        <f t="shared" si="153"/>
        <v>0</v>
      </c>
      <c r="U468" s="322"/>
      <c r="V468" s="80">
        <f t="shared" ref="V468:V531" si="157">+S468/30</f>
        <v>0</v>
      </c>
      <c r="W468" s="79"/>
      <c r="X468" s="322"/>
      <c r="Y468" s="79"/>
      <c r="Z468" s="322"/>
      <c r="AA468" s="79"/>
      <c r="AB468" s="322"/>
      <c r="AC468" s="79">
        <v>774540.75</v>
      </c>
      <c r="AD468" s="322">
        <v>772305.5</v>
      </c>
      <c r="AE468" s="323">
        <f t="shared" si="144"/>
        <v>774540.75</v>
      </c>
      <c r="AF468" s="638">
        <f t="shared" si="154"/>
        <v>0</v>
      </c>
      <c r="AG468" s="639" t="s">
        <v>949</v>
      </c>
      <c r="AH468" s="90">
        <f t="shared" si="145"/>
        <v>860.6008333333333</v>
      </c>
      <c r="AI468" s="80">
        <f t="shared" si="146"/>
        <v>772305.5</v>
      </c>
      <c r="AJ468" s="638">
        <f t="shared" si="155"/>
        <v>0</v>
      </c>
      <c r="AK468" s="639" t="s">
        <v>949</v>
      </c>
      <c r="AL468" s="80">
        <f t="shared" si="147"/>
        <v>858.11722222222227</v>
      </c>
      <c r="AM468" s="79"/>
      <c r="AN468" s="322"/>
      <c r="AO468" s="79"/>
      <c r="AP468" s="322"/>
      <c r="AQ468" s="79"/>
      <c r="AR468" s="322"/>
      <c r="AS468" s="79"/>
      <c r="AT468" s="322"/>
      <c r="AU468" s="325">
        <f t="shared" si="148"/>
        <v>0</v>
      </c>
      <c r="AV468" s="90">
        <f t="shared" ref="AV468:AV531" si="158">+AU468/24</f>
        <v>0</v>
      </c>
      <c r="AW468" s="324">
        <f t="shared" si="149"/>
        <v>0</v>
      </c>
      <c r="AX468" s="80">
        <f t="shared" ref="AX468:AX531" si="159">+AW468/24</f>
        <v>0</v>
      </c>
      <c r="AY468" s="326">
        <f t="shared" si="150"/>
        <v>860.6008333333333</v>
      </c>
      <c r="AZ468" s="80">
        <f t="shared" si="151"/>
        <v>858.11722222222227</v>
      </c>
    </row>
    <row r="469" spans="1:52">
      <c r="A469" s="174" t="s">
        <v>724</v>
      </c>
      <c r="B469" s="177" t="s">
        <v>768</v>
      </c>
      <c r="C469" s="178">
        <v>261384</v>
      </c>
      <c r="D469" s="176">
        <v>13</v>
      </c>
      <c r="E469" s="162" t="s">
        <v>442</v>
      </c>
      <c r="F469" s="163" t="s">
        <v>442</v>
      </c>
      <c r="G469" s="79"/>
      <c r="H469" s="322"/>
      <c r="I469" s="79"/>
      <c r="J469" s="322"/>
      <c r="K469" s="79"/>
      <c r="L469" s="322"/>
      <c r="M469" s="79"/>
      <c r="N469" s="322"/>
      <c r="O469" s="323">
        <f t="shared" si="142"/>
        <v>0</v>
      </c>
      <c r="P469" s="638">
        <f t="shared" si="152"/>
        <v>0</v>
      </c>
      <c r="Q469" s="322"/>
      <c r="R469" s="90">
        <f t="shared" si="156"/>
        <v>0</v>
      </c>
      <c r="S469" s="324">
        <f t="shared" si="143"/>
        <v>0</v>
      </c>
      <c r="T469" s="638">
        <f t="shared" si="153"/>
        <v>0</v>
      </c>
      <c r="U469" s="322"/>
      <c r="V469" s="80">
        <f t="shared" si="157"/>
        <v>0</v>
      </c>
      <c r="W469" s="79"/>
      <c r="X469" s="322"/>
      <c r="Y469" s="79"/>
      <c r="Z469" s="322"/>
      <c r="AA469" s="79"/>
      <c r="AB469" s="322"/>
      <c r="AC469" s="79">
        <v>366286</v>
      </c>
      <c r="AD469" s="322">
        <v>386058.75</v>
      </c>
      <c r="AE469" s="323">
        <f t="shared" si="144"/>
        <v>366286</v>
      </c>
      <c r="AF469" s="638">
        <f t="shared" si="154"/>
        <v>0</v>
      </c>
      <c r="AG469" s="639" t="s">
        <v>949</v>
      </c>
      <c r="AH469" s="90">
        <f t="shared" si="145"/>
        <v>406.98444444444442</v>
      </c>
      <c r="AI469" s="80">
        <f t="shared" si="146"/>
        <v>386058.75</v>
      </c>
      <c r="AJ469" s="638">
        <f t="shared" si="155"/>
        <v>0</v>
      </c>
      <c r="AK469" s="639" t="s">
        <v>949</v>
      </c>
      <c r="AL469" s="80">
        <f t="shared" si="147"/>
        <v>428.95416666666665</v>
      </c>
      <c r="AM469" s="79"/>
      <c r="AN469" s="322"/>
      <c r="AO469" s="79"/>
      <c r="AP469" s="322"/>
      <c r="AQ469" s="79"/>
      <c r="AR469" s="322"/>
      <c r="AS469" s="79"/>
      <c r="AT469" s="322"/>
      <c r="AU469" s="325">
        <f t="shared" si="148"/>
        <v>0</v>
      </c>
      <c r="AV469" s="90">
        <f t="shared" si="158"/>
        <v>0</v>
      </c>
      <c r="AW469" s="324">
        <f t="shared" si="149"/>
        <v>0</v>
      </c>
      <c r="AX469" s="80">
        <f t="shared" si="159"/>
        <v>0</v>
      </c>
      <c r="AY469" s="326">
        <f t="shared" si="150"/>
        <v>406.98444444444442</v>
      </c>
      <c r="AZ469" s="80">
        <f t="shared" si="151"/>
        <v>428.95416666666665</v>
      </c>
    </row>
    <row r="470" spans="1:52">
      <c r="A470" s="174" t="s">
        <v>724</v>
      </c>
      <c r="B470" s="177" t="s">
        <v>769</v>
      </c>
      <c r="C470" s="178">
        <v>418357</v>
      </c>
      <c r="D470" s="176">
        <v>13</v>
      </c>
      <c r="E470" s="162" t="s">
        <v>442</v>
      </c>
      <c r="F470" s="163" t="s">
        <v>442</v>
      </c>
      <c r="G470" s="79"/>
      <c r="H470" s="322"/>
      <c r="I470" s="79"/>
      <c r="J470" s="322"/>
      <c r="K470" s="79"/>
      <c r="L470" s="322"/>
      <c r="M470" s="79"/>
      <c r="N470" s="322"/>
      <c r="O470" s="323">
        <f t="shared" si="142"/>
        <v>0</v>
      </c>
      <c r="P470" s="638">
        <f t="shared" si="152"/>
        <v>0</v>
      </c>
      <c r="Q470" s="322"/>
      <c r="R470" s="90">
        <f t="shared" si="156"/>
        <v>0</v>
      </c>
      <c r="S470" s="324">
        <f t="shared" si="143"/>
        <v>0</v>
      </c>
      <c r="T470" s="638">
        <f t="shared" si="153"/>
        <v>0</v>
      </c>
      <c r="U470" s="322"/>
      <c r="V470" s="80">
        <f t="shared" si="157"/>
        <v>0</v>
      </c>
      <c r="W470" s="79"/>
      <c r="X470" s="322"/>
      <c r="Y470" s="79"/>
      <c r="Z470" s="322"/>
      <c r="AA470" s="79"/>
      <c r="AB470" s="322"/>
      <c r="AC470" s="79">
        <v>162854.75</v>
      </c>
      <c r="AD470" s="322">
        <v>181083.75</v>
      </c>
      <c r="AE470" s="323">
        <f t="shared" si="144"/>
        <v>162854.75</v>
      </c>
      <c r="AF470" s="638">
        <f t="shared" si="154"/>
        <v>0</v>
      </c>
      <c r="AG470" s="639" t="s">
        <v>949</v>
      </c>
      <c r="AH470" s="90">
        <f t="shared" si="145"/>
        <v>180.94972222222222</v>
      </c>
      <c r="AI470" s="80">
        <f t="shared" si="146"/>
        <v>181083.75</v>
      </c>
      <c r="AJ470" s="638">
        <f t="shared" si="155"/>
        <v>0</v>
      </c>
      <c r="AK470" s="639" t="s">
        <v>949</v>
      </c>
      <c r="AL470" s="80">
        <f t="shared" si="147"/>
        <v>201.20416666666668</v>
      </c>
      <c r="AM470" s="79"/>
      <c r="AN470" s="322"/>
      <c r="AO470" s="79"/>
      <c r="AP470" s="322"/>
      <c r="AQ470" s="79"/>
      <c r="AR470" s="322"/>
      <c r="AS470" s="79"/>
      <c r="AT470" s="322"/>
      <c r="AU470" s="325">
        <f t="shared" si="148"/>
        <v>0</v>
      </c>
      <c r="AV470" s="90">
        <f t="shared" si="158"/>
        <v>0</v>
      </c>
      <c r="AW470" s="324">
        <f t="shared" si="149"/>
        <v>0</v>
      </c>
      <c r="AX470" s="80">
        <f t="shared" si="159"/>
        <v>0</v>
      </c>
      <c r="AY470" s="326">
        <f t="shared" si="150"/>
        <v>180.94972222222222</v>
      </c>
      <c r="AZ470" s="80">
        <f t="shared" si="151"/>
        <v>201.20416666666668</v>
      </c>
    </row>
    <row r="471" spans="1:52">
      <c r="A471" s="174" t="s">
        <v>724</v>
      </c>
      <c r="B471" s="177" t="s">
        <v>770</v>
      </c>
      <c r="C471" s="178">
        <v>418302</v>
      </c>
      <c r="D471" s="176">
        <v>13</v>
      </c>
      <c r="E471" s="162" t="s">
        <v>442</v>
      </c>
      <c r="F471" s="163" t="s">
        <v>442</v>
      </c>
      <c r="G471" s="79"/>
      <c r="H471" s="322"/>
      <c r="I471" s="79"/>
      <c r="J471" s="322"/>
      <c r="K471" s="79"/>
      <c r="L471" s="322"/>
      <c r="M471" s="79"/>
      <c r="N471" s="322"/>
      <c r="O471" s="323">
        <f t="shared" si="142"/>
        <v>0</v>
      </c>
      <c r="P471" s="638">
        <f t="shared" si="152"/>
        <v>0</v>
      </c>
      <c r="Q471" s="322"/>
      <c r="R471" s="90">
        <f t="shared" si="156"/>
        <v>0</v>
      </c>
      <c r="S471" s="324">
        <f t="shared" si="143"/>
        <v>0</v>
      </c>
      <c r="T471" s="638">
        <f t="shared" si="153"/>
        <v>0</v>
      </c>
      <c r="U471" s="322"/>
      <c r="V471" s="80">
        <f t="shared" si="157"/>
        <v>0</v>
      </c>
      <c r="W471" s="79"/>
      <c r="X471" s="322"/>
      <c r="Y471" s="79"/>
      <c r="Z471" s="322"/>
      <c r="AA471" s="79"/>
      <c r="AB471" s="322"/>
      <c r="AC471" s="79">
        <v>331964.40000000002</v>
      </c>
      <c r="AD471" s="322">
        <v>339272.54</v>
      </c>
      <c r="AE471" s="323">
        <f t="shared" si="144"/>
        <v>331964.40000000002</v>
      </c>
      <c r="AF471" s="638">
        <f t="shared" si="154"/>
        <v>0</v>
      </c>
      <c r="AG471" s="639" t="s">
        <v>949</v>
      </c>
      <c r="AH471" s="90">
        <f t="shared" si="145"/>
        <v>368.84933333333333</v>
      </c>
      <c r="AI471" s="80">
        <f t="shared" si="146"/>
        <v>339272.54</v>
      </c>
      <c r="AJ471" s="638">
        <f t="shared" si="155"/>
        <v>0</v>
      </c>
      <c r="AK471" s="639" t="s">
        <v>949</v>
      </c>
      <c r="AL471" s="80">
        <f t="shared" si="147"/>
        <v>376.96948888888886</v>
      </c>
      <c r="AM471" s="79"/>
      <c r="AN471" s="322"/>
      <c r="AO471" s="79"/>
      <c r="AP471" s="322"/>
      <c r="AQ471" s="79"/>
      <c r="AR471" s="322"/>
      <c r="AS471" s="79"/>
      <c r="AT471" s="322"/>
      <c r="AU471" s="325">
        <f t="shared" si="148"/>
        <v>0</v>
      </c>
      <c r="AV471" s="90">
        <f t="shared" si="158"/>
        <v>0</v>
      </c>
      <c r="AW471" s="324">
        <f t="shared" si="149"/>
        <v>0</v>
      </c>
      <c r="AX471" s="80">
        <f t="shared" si="159"/>
        <v>0</v>
      </c>
      <c r="AY471" s="326">
        <f t="shared" si="150"/>
        <v>368.84933333333333</v>
      </c>
      <c r="AZ471" s="80">
        <f t="shared" si="151"/>
        <v>376.96948888888886</v>
      </c>
    </row>
    <row r="472" spans="1:52">
      <c r="A472" s="194" t="s">
        <v>865</v>
      </c>
      <c r="B472" s="195" t="s">
        <v>866</v>
      </c>
      <c r="C472" s="225">
        <v>217882</v>
      </c>
      <c r="D472" s="198">
        <v>1</v>
      </c>
      <c r="E472" s="162" t="s">
        <v>442</v>
      </c>
      <c r="F472" s="163" t="s">
        <v>442</v>
      </c>
      <c r="G472" s="79"/>
      <c r="H472" s="322"/>
      <c r="I472" s="79">
        <v>191353</v>
      </c>
      <c r="J472" s="322">
        <v>194911</v>
      </c>
      <c r="K472" s="79">
        <v>27349</v>
      </c>
      <c r="L472" s="322">
        <v>27069</v>
      </c>
      <c r="M472" s="79">
        <v>209673</v>
      </c>
      <c r="N472" s="322">
        <v>219442</v>
      </c>
      <c r="O472" s="323">
        <f t="shared" si="142"/>
        <v>428375</v>
      </c>
      <c r="P472" s="638">
        <f t="shared" si="152"/>
        <v>428375</v>
      </c>
      <c r="Q472" s="322"/>
      <c r="R472" s="90">
        <f t="shared" si="156"/>
        <v>14279.166666666666</v>
      </c>
      <c r="S472" s="324">
        <f t="shared" si="143"/>
        <v>441422</v>
      </c>
      <c r="T472" s="638">
        <f t="shared" si="153"/>
        <v>441422</v>
      </c>
      <c r="U472" s="322"/>
      <c r="V472" s="80">
        <f t="shared" si="157"/>
        <v>14714.066666666668</v>
      </c>
      <c r="W472" s="79"/>
      <c r="X472" s="322"/>
      <c r="Y472" s="79"/>
      <c r="Z472" s="322"/>
      <c r="AA472" s="79"/>
      <c r="AB472" s="322"/>
      <c r="AC472" s="79"/>
      <c r="AD472" s="322"/>
      <c r="AE472" s="323">
        <f t="shared" si="144"/>
        <v>0</v>
      </c>
      <c r="AF472" s="638">
        <f t="shared" si="154"/>
        <v>0</v>
      </c>
      <c r="AG472" s="322"/>
      <c r="AH472" s="90">
        <f t="shared" si="145"/>
        <v>0</v>
      </c>
      <c r="AI472" s="80">
        <f t="shared" si="146"/>
        <v>0</v>
      </c>
      <c r="AJ472" s="638">
        <f t="shared" si="155"/>
        <v>0</v>
      </c>
      <c r="AK472" s="322"/>
      <c r="AL472" s="80">
        <f t="shared" si="147"/>
        <v>0</v>
      </c>
      <c r="AM472" s="79"/>
      <c r="AN472" s="322"/>
      <c r="AO472" s="79">
        <v>20815</v>
      </c>
      <c r="AP472" s="322">
        <v>21923</v>
      </c>
      <c r="AQ472" s="79">
        <v>9622</v>
      </c>
      <c r="AR472" s="322">
        <v>9756</v>
      </c>
      <c r="AS472" s="79">
        <v>22796</v>
      </c>
      <c r="AT472" s="322">
        <v>28042</v>
      </c>
      <c r="AU472" s="325">
        <f t="shared" si="148"/>
        <v>53233</v>
      </c>
      <c r="AV472" s="90">
        <f t="shared" si="158"/>
        <v>2218.0416666666665</v>
      </c>
      <c r="AW472" s="324">
        <f t="shared" si="149"/>
        <v>59721</v>
      </c>
      <c r="AX472" s="80">
        <f t="shared" si="159"/>
        <v>2488.375</v>
      </c>
      <c r="AY472" s="326">
        <f t="shared" si="150"/>
        <v>16497.208333333332</v>
      </c>
      <c r="AZ472" s="80">
        <f t="shared" si="151"/>
        <v>17202.441666666666</v>
      </c>
    </row>
    <row r="473" spans="1:52">
      <c r="A473" s="194" t="s">
        <v>865</v>
      </c>
      <c r="B473" s="195" t="s">
        <v>867</v>
      </c>
      <c r="C473" s="225">
        <v>218663</v>
      </c>
      <c r="D473" s="198">
        <v>1</v>
      </c>
      <c r="E473" s="162" t="s">
        <v>442</v>
      </c>
      <c r="F473" s="163" t="s">
        <v>442</v>
      </c>
      <c r="G473" s="79"/>
      <c r="H473" s="322"/>
      <c r="I473" s="79">
        <v>247447</v>
      </c>
      <c r="J473" s="322">
        <v>257902</v>
      </c>
      <c r="K473" s="79">
        <v>30091</v>
      </c>
      <c r="L473" s="322">
        <v>29156</v>
      </c>
      <c r="M473" s="79">
        <v>274633</v>
      </c>
      <c r="N473" s="322">
        <v>290459</v>
      </c>
      <c r="O473" s="323">
        <f t="shared" si="142"/>
        <v>552171</v>
      </c>
      <c r="P473" s="638">
        <f t="shared" si="152"/>
        <v>552171</v>
      </c>
      <c r="Q473" s="322">
        <v>322</v>
      </c>
      <c r="R473" s="90">
        <f t="shared" si="156"/>
        <v>18405.7</v>
      </c>
      <c r="S473" s="324">
        <f t="shared" si="143"/>
        <v>577517</v>
      </c>
      <c r="T473" s="638">
        <f t="shared" si="153"/>
        <v>577517</v>
      </c>
      <c r="U473" s="322">
        <v>88</v>
      </c>
      <c r="V473" s="80">
        <f t="shared" si="157"/>
        <v>19250.566666666666</v>
      </c>
      <c r="W473" s="79"/>
      <c r="X473" s="322"/>
      <c r="Y473" s="79"/>
      <c r="Z473" s="322"/>
      <c r="AA473" s="79"/>
      <c r="AB473" s="322"/>
      <c r="AC473" s="79"/>
      <c r="AD473" s="322"/>
      <c r="AE473" s="323">
        <f t="shared" si="144"/>
        <v>0</v>
      </c>
      <c r="AF473" s="638">
        <f t="shared" si="154"/>
        <v>0</v>
      </c>
      <c r="AG473" s="322"/>
      <c r="AH473" s="90">
        <f t="shared" si="145"/>
        <v>0</v>
      </c>
      <c r="AI473" s="80">
        <f t="shared" si="146"/>
        <v>0</v>
      </c>
      <c r="AJ473" s="638">
        <f t="shared" si="155"/>
        <v>0</v>
      </c>
      <c r="AK473" s="322"/>
      <c r="AL473" s="80">
        <f t="shared" si="147"/>
        <v>0</v>
      </c>
      <c r="AM473" s="79"/>
      <c r="AN473" s="322"/>
      <c r="AO473" s="79">
        <v>44126</v>
      </c>
      <c r="AP473" s="322">
        <v>43779</v>
      </c>
      <c r="AQ473" s="79">
        <v>18103</v>
      </c>
      <c r="AR473" s="322">
        <v>17258</v>
      </c>
      <c r="AS473" s="79">
        <v>48101</v>
      </c>
      <c r="AT473" s="322">
        <v>46105</v>
      </c>
      <c r="AU473" s="325">
        <f t="shared" si="148"/>
        <v>110330</v>
      </c>
      <c r="AV473" s="90">
        <f t="shared" si="158"/>
        <v>4597.083333333333</v>
      </c>
      <c r="AW473" s="324">
        <f t="shared" si="149"/>
        <v>107142</v>
      </c>
      <c r="AX473" s="80">
        <f t="shared" si="159"/>
        <v>4464.25</v>
      </c>
      <c r="AY473" s="326">
        <f t="shared" si="150"/>
        <v>23002.783333333333</v>
      </c>
      <c r="AZ473" s="80">
        <f t="shared" si="151"/>
        <v>23714.816666666666</v>
      </c>
    </row>
    <row r="474" spans="1:52">
      <c r="A474" s="194" t="s">
        <v>865</v>
      </c>
      <c r="B474" s="195" t="s">
        <v>868</v>
      </c>
      <c r="C474" s="225">
        <v>217819</v>
      </c>
      <c r="D474" s="198">
        <v>3</v>
      </c>
      <c r="E474" s="162" t="s">
        <v>442</v>
      </c>
      <c r="F474" s="163" t="s">
        <v>442</v>
      </c>
      <c r="G474" s="79"/>
      <c r="H474" s="322"/>
      <c r="I474" s="79">
        <v>130315</v>
      </c>
      <c r="J474" s="322">
        <v>131350</v>
      </c>
      <c r="K474" s="79">
        <v>14948</v>
      </c>
      <c r="L474" s="322">
        <v>14310</v>
      </c>
      <c r="M474" s="79">
        <v>140108</v>
      </c>
      <c r="N474" s="322">
        <v>138079</v>
      </c>
      <c r="O474" s="323">
        <f t="shared" si="142"/>
        <v>285371</v>
      </c>
      <c r="P474" s="638">
        <f t="shared" si="152"/>
        <v>285371</v>
      </c>
      <c r="Q474" s="322">
        <v>0</v>
      </c>
      <c r="R474" s="90">
        <f t="shared" si="156"/>
        <v>9512.3666666666668</v>
      </c>
      <c r="S474" s="324">
        <f t="shared" si="143"/>
        <v>283739</v>
      </c>
      <c r="T474" s="638">
        <f t="shared" si="153"/>
        <v>283739</v>
      </c>
      <c r="U474" s="322"/>
      <c r="V474" s="80">
        <f t="shared" si="157"/>
        <v>9457.9666666666672</v>
      </c>
      <c r="W474" s="79"/>
      <c r="X474" s="322"/>
      <c r="Y474" s="79"/>
      <c r="Z474" s="322"/>
      <c r="AA474" s="79"/>
      <c r="AB474" s="322"/>
      <c r="AC474" s="79"/>
      <c r="AD474" s="322"/>
      <c r="AE474" s="323">
        <f t="shared" si="144"/>
        <v>0</v>
      </c>
      <c r="AF474" s="638">
        <f t="shared" si="154"/>
        <v>0</v>
      </c>
      <c r="AG474" s="322"/>
      <c r="AH474" s="90">
        <f t="shared" si="145"/>
        <v>0</v>
      </c>
      <c r="AI474" s="80">
        <f t="shared" si="146"/>
        <v>0</v>
      </c>
      <c r="AJ474" s="638">
        <f t="shared" si="155"/>
        <v>0</v>
      </c>
      <c r="AK474" s="322"/>
      <c r="AL474" s="80">
        <f t="shared" si="147"/>
        <v>0</v>
      </c>
      <c r="AM474" s="79"/>
      <c r="AN474" s="322"/>
      <c r="AO474" s="79">
        <v>5758</v>
      </c>
      <c r="AP474" s="322">
        <v>6166</v>
      </c>
      <c r="AQ474" s="79">
        <v>5205</v>
      </c>
      <c r="AR474" s="322">
        <v>5732</v>
      </c>
      <c r="AS474" s="79">
        <v>6436</v>
      </c>
      <c r="AT474" s="322">
        <v>6973</v>
      </c>
      <c r="AU474" s="325">
        <f t="shared" si="148"/>
        <v>17399</v>
      </c>
      <c r="AV474" s="90">
        <f t="shared" si="158"/>
        <v>724.95833333333337</v>
      </c>
      <c r="AW474" s="324">
        <f t="shared" si="149"/>
        <v>18871</v>
      </c>
      <c r="AX474" s="80">
        <f t="shared" si="159"/>
        <v>786.29166666666663</v>
      </c>
      <c r="AY474" s="326">
        <f t="shared" si="150"/>
        <v>10237.325000000001</v>
      </c>
      <c r="AZ474" s="80">
        <f t="shared" si="151"/>
        <v>10244.258333333333</v>
      </c>
    </row>
    <row r="475" spans="1:52">
      <c r="A475" s="194" t="s">
        <v>865</v>
      </c>
      <c r="B475" s="195" t="s">
        <v>869</v>
      </c>
      <c r="C475" s="225">
        <v>218964</v>
      </c>
      <c r="D475" s="198">
        <v>3</v>
      </c>
      <c r="E475" s="162" t="s">
        <v>442</v>
      </c>
      <c r="F475" s="163" t="s">
        <v>442</v>
      </c>
      <c r="G475" s="79"/>
      <c r="H475" s="322"/>
      <c r="I475" s="79">
        <v>67625.5</v>
      </c>
      <c r="J475" s="322">
        <v>66170</v>
      </c>
      <c r="K475" s="79">
        <v>6140.5</v>
      </c>
      <c r="L475" s="322">
        <v>6745</v>
      </c>
      <c r="M475" s="79">
        <v>70994</v>
      </c>
      <c r="N475" s="322">
        <v>71720.5</v>
      </c>
      <c r="O475" s="323">
        <f t="shared" si="142"/>
        <v>144760</v>
      </c>
      <c r="P475" s="638">
        <f t="shared" si="152"/>
        <v>144760</v>
      </c>
      <c r="Q475" s="322">
        <v>1042</v>
      </c>
      <c r="R475" s="90">
        <f t="shared" si="156"/>
        <v>4825.333333333333</v>
      </c>
      <c r="S475" s="324">
        <f t="shared" si="143"/>
        <v>144635.5</v>
      </c>
      <c r="T475" s="638">
        <f t="shared" si="153"/>
        <v>144635.5</v>
      </c>
      <c r="U475" s="322">
        <v>1066</v>
      </c>
      <c r="V475" s="80">
        <f t="shared" si="157"/>
        <v>4821.1833333333334</v>
      </c>
      <c r="W475" s="79"/>
      <c r="X475" s="322"/>
      <c r="Y475" s="79"/>
      <c r="Z475" s="322"/>
      <c r="AA475" s="79"/>
      <c r="AB475" s="322"/>
      <c r="AC475" s="79"/>
      <c r="AD475" s="322"/>
      <c r="AE475" s="323">
        <f t="shared" si="144"/>
        <v>0</v>
      </c>
      <c r="AF475" s="638">
        <f t="shared" si="154"/>
        <v>0</v>
      </c>
      <c r="AG475" s="322"/>
      <c r="AH475" s="90">
        <f t="shared" si="145"/>
        <v>0</v>
      </c>
      <c r="AI475" s="80">
        <f t="shared" si="146"/>
        <v>0</v>
      </c>
      <c r="AJ475" s="638">
        <f t="shared" si="155"/>
        <v>0</v>
      </c>
      <c r="AK475" s="322"/>
      <c r="AL475" s="80">
        <f t="shared" si="147"/>
        <v>0</v>
      </c>
      <c r="AM475" s="79"/>
      <c r="AN475" s="322"/>
      <c r="AO475" s="79">
        <v>5201</v>
      </c>
      <c r="AP475" s="322">
        <v>6111</v>
      </c>
      <c r="AQ475" s="79">
        <v>3314</v>
      </c>
      <c r="AR475" s="322">
        <v>3742</v>
      </c>
      <c r="AS475" s="79">
        <v>7243</v>
      </c>
      <c r="AT475" s="322">
        <v>6745</v>
      </c>
      <c r="AU475" s="325">
        <f t="shared" si="148"/>
        <v>15758</v>
      </c>
      <c r="AV475" s="90">
        <f t="shared" si="158"/>
        <v>656.58333333333337</v>
      </c>
      <c r="AW475" s="324">
        <f t="shared" si="149"/>
        <v>16598</v>
      </c>
      <c r="AX475" s="80">
        <f t="shared" si="159"/>
        <v>691.58333333333337</v>
      </c>
      <c r="AY475" s="326">
        <f t="shared" si="150"/>
        <v>5481.9166666666661</v>
      </c>
      <c r="AZ475" s="80">
        <f t="shared" si="151"/>
        <v>5512.7666666666664</v>
      </c>
    </row>
    <row r="476" spans="1:52">
      <c r="A476" s="194" t="s">
        <v>865</v>
      </c>
      <c r="B476" s="195" t="s">
        <v>870</v>
      </c>
      <c r="C476" s="225">
        <v>217864</v>
      </c>
      <c r="D476" s="198">
        <v>4</v>
      </c>
      <c r="E476" s="162" t="s">
        <v>442</v>
      </c>
      <c r="F476" s="163" t="s">
        <v>442</v>
      </c>
      <c r="G476" s="79"/>
      <c r="H476" s="322"/>
      <c r="I476" s="79">
        <v>36281</v>
      </c>
      <c r="J476" s="322">
        <v>36405</v>
      </c>
      <c r="K476" s="79">
        <v>5544</v>
      </c>
      <c r="L476" s="322">
        <v>5704</v>
      </c>
      <c r="M476" s="79">
        <v>38923</v>
      </c>
      <c r="N476" s="322">
        <v>39478</v>
      </c>
      <c r="O476" s="323">
        <f t="shared" si="142"/>
        <v>80748</v>
      </c>
      <c r="P476" s="638">
        <f t="shared" si="152"/>
        <v>80748</v>
      </c>
      <c r="Q476" s="322">
        <v>132</v>
      </c>
      <c r="R476" s="90">
        <f t="shared" si="156"/>
        <v>2691.6</v>
      </c>
      <c r="S476" s="324">
        <f t="shared" si="143"/>
        <v>81587</v>
      </c>
      <c r="T476" s="638">
        <f t="shared" si="153"/>
        <v>81587</v>
      </c>
      <c r="U476" s="322">
        <v>167</v>
      </c>
      <c r="V476" s="80">
        <f t="shared" si="157"/>
        <v>2719.5666666666666</v>
      </c>
      <c r="W476" s="79"/>
      <c r="X476" s="322"/>
      <c r="Y476" s="79"/>
      <c r="Z476" s="322"/>
      <c r="AA476" s="79"/>
      <c r="AB476" s="322"/>
      <c r="AC476" s="79"/>
      <c r="AD476" s="322"/>
      <c r="AE476" s="323">
        <f t="shared" si="144"/>
        <v>0</v>
      </c>
      <c r="AF476" s="638">
        <f t="shared" si="154"/>
        <v>0</v>
      </c>
      <c r="AG476" s="322"/>
      <c r="AH476" s="90">
        <f t="shared" si="145"/>
        <v>0</v>
      </c>
      <c r="AI476" s="80">
        <f t="shared" si="146"/>
        <v>0</v>
      </c>
      <c r="AJ476" s="638">
        <f t="shared" si="155"/>
        <v>0</v>
      </c>
      <c r="AK476" s="322"/>
      <c r="AL476" s="80">
        <f t="shared" si="147"/>
        <v>0</v>
      </c>
      <c r="AM476" s="79"/>
      <c r="AN476" s="322"/>
      <c r="AO476" s="79">
        <v>5656</v>
      </c>
      <c r="AP476" s="322">
        <v>5659.5</v>
      </c>
      <c r="AQ476" s="79">
        <v>4287</v>
      </c>
      <c r="AR476" s="322">
        <v>4503</v>
      </c>
      <c r="AS476" s="79">
        <v>5581</v>
      </c>
      <c r="AT476" s="322">
        <v>5633</v>
      </c>
      <c r="AU476" s="325">
        <f t="shared" si="148"/>
        <v>15524</v>
      </c>
      <c r="AV476" s="90">
        <f t="shared" si="158"/>
        <v>646.83333333333337</v>
      </c>
      <c r="AW476" s="324">
        <f t="shared" si="149"/>
        <v>15795.5</v>
      </c>
      <c r="AX476" s="80">
        <f t="shared" si="159"/>
        <v>658.14583333333337</v>
      </c>
      <c r="AY476" s="326">
        <f t="shared" si="150"/>
        <v>3338.4333333333334</v>
      </c>
      <c r="AZ476" s="80">
        <f t="shared" si="151"/>
        <v>3377.7125000000001</v>
      </c>
    </row>
    <row r="477" spans="1:52">
      <c r="A477" s="194" t="s">
        <v>865</v>
      </c>
      <c r="B477" s="195" t="s">
        <v>871</v>
      </c>
      <c r="C477" s="226">
        <v>218724</v>
      </c>
      <c r="D477" s="347">
        <v>5</v>
      </c>
      <c r="E477" s="162" t="s">
        <v>442</v>
      </c>
      <c r="F477" s="163" t="s">
        <v>442</v>
      </c>
      <c r="G477" s="79"/>
      <c r="H477" s="322"/>
      <c r="I477" s="79">
        <v>88090</v>
      </c>
      <c r="J477" s="322">
        <v>93211</v>
      </c>
      <c r="K477" s="79">
        <v>9520</v>
      </c>
      <c r="L477" s="322">
        <v>9512</v>
      </c>
      <c r="M477" s="79">
        <v>103185</v>
      </c>
      <c r="N477" s="322">
        <v>110338</v>
      </c>
      <c r="O477" s="323">
        <f t="shared" si="142"/>
        <v>200795</v>
      </c>
      <c r="P477" s="638">
        <f t="shared" si="152"/>
        <v>200795</v>
      </c>
      <c r="Q477" s="322">
        <v>287</v>
      </c>
      <c r="R477" s="90">
        <f t="shared" si="156"/>
        <v>6693.166666666667</v>
      </c>
      <c r="S477" s="324">
        <f t="shared" si="143"/>
        <v>213061</v>
      </c>
      <c r="T477" s="638">
        <f t="shared" si="153"/>
        <v>213061</v>
      </c>
      <c r="U477" s="322">
        <v>366</v>
      </c>
      <c r="V477" s="80">
        <f t="shared" si="157"/>
        <v>7102.0333333333338</v>
      </c>
      <c r="W477" s="79"/>
      <c r="X477" s="322"/>
      <c r="Y477" s="79"/>
      <c r="Z477" s="322"/>
      <c r="AA477" s="79"/>
      <c r="AB477" s="322"/>
      <c r="AC477" s="79"/>
      <c r="AD477" s="322"/>
      <c r="AE477" s="323">
        <f t="shared" si="144"/>
        <v>0</v>
      </c>
      <c r="AF477" s="638">
        <f t="shared" si="154"/>
        <v>0</v>
      </c>
      <c r="AG477" s="322"/>
      <c r="AH477" s="90">
        <f t="shared" si="145"/>
        <v>0</v>
      </c>
      <c r="AI477" s="80">
        <f t="shared" si="146"/>
        <v>0</v>
      </c>
      <c r="AJ477" s="638">
        <f t="shared" si="155"/>
        <v>0</v>
      </c>
      <c r="AK477" s="322"/>
      <c r="AL477" s="80">
        <f t="shared" si="147"/>
        <v>0</v>
      </c>
      <c r="AM477" s="79"/>
      <c r="AN477" s="322"/>
      <c r="AO477" s="79">
        <v>3467</v>
      </c>
      <c r="AP477" s="322">
        <v>2392</v>
      </c>
      <c r="AQ477" s="79">
        <v>3145</v>
      </c>
      <c r="AR477" s="322">
        <v>2349</v>
      </c>
      <c r="AS477" s="79">
        <v>3434</v>
      </c>
      <c r="AT477" s="322">
        <v>2812</v>
      </c>
      <c r="AU477" s="325">
        <f t="shared" si="148"/>
        <v>10046</v>
      </c>
      <c r="AV477" s="90">
        <f t="shared" si="158"/>
        <v>418.58333333333331</v>
      </c>
      <c r="AW477" s="324">
        <f t="shared" si="149"/>
        <v>7553</v>
      </c>
      <c r="AX477" s="80">
        <f t="shared" si="159"/>
        <v>314.70833333333331</v>
      </c>
      <c r="AY477" s="326">
        <f t="shared" si="150"/>
        <v>7111.75</v>
      </c>
      <c r="AZ477" s="80">
        <f t="shared" si="151"/>
        <v>7416.7416666666668</v>
      </c>
    </row>
    <row r="478" spans="1:52">
      <c r="A478" s="194" t="s">
        <v>865</v>
      </c>
      <c r="B478" s="195" t="s">
        <v>872</v>
      </c>
      <c r="C478" s="225">
        <v>218061</v>
      </c>
      <c r="D478" s="196">
        <v>5</v>
      </c>
      <c r="E478" s="162" t="s">
        <v>442</v>
      </c>
      <c r="F478" s="163" t="s">
        <v>442</v>
      </c>
      <c r="G478" s="79"/>
      <c r="H478" s="322"/>
      <c r="I478" s="79">
        <v>42227</v>
      </c>
      <c r="J478" s="322">
        <v>42609</v>
      </c>
      <c r="K478" s="79">
        <v>5474</v>
      </c>
      <c r="L478" s="322">
        <v>5054</v>
      </c>
      <c r="M478" s="79">
        <v>47377</v>
      </c>
      <c r="N478" s="322">
        <v>47479</v>
      </c>
      <c r="O478" s="323">
        <f t="shared" si="142"/>
        <v>95078</v>
      </c>
      <c r="P478" s="638">
        <f t="shared" si="152"/>
        <v>95078</v>
      </c>
      <c r="Q478" s="322">
        <v>503</v>
      </c>
      <c r="R478" s="90">
        <f t="shared" si="156"/>
        <v>3169.2666666666669</v>
      </c>
      <c r="S478" s="324">
        <f t="shared" si="143"/>
        <v>95142</v>
      </c>
      <c r="T478" s="638">
        <f t="shared" si="153"/>
        <v>95142</v>
      </c>
      <c r="U478" s="322">
        <v>483</v>
      </c>
      <c r="V478" s="80">
        <f t="shared" si="157"/>
        <v>3171.4</v>
      </c>
      <c r="W478" s="79"/>
      <c r="X478" s="322"/>
      <c r="Y478" s="79"/>
      <c r="Z478" s="322"/>
      <c r="AA478" s="79"/>
      <c r="AB478" s="322"/>
      <c r="AC478" s="79"/>
      <c r="AD478" s="322"/>
      <c r="AE478" s="323">
        <f t="shared" si="144"/>
        <v>0</v>
      </c>
      <c r="AF478" s="638">
        <f t="shared" si="154"/>
        <v>0</v>
      </c>
      <c r="AG478" s="322"/>
      <c r="AH478" s="90">
        <f t="shared" si="145"/>
        <v>0</v>
      </c>
      <c r="AI478" s="80">
        <f t="shared" si="146"/>
        <v>0</v>
      </c>
      <c r="AJ478" s="638">
        <f t="shared" si="155"/>
        <v>0</v>
      </c>
      <c r="AK478" s="322"/>
      <c r="AL478" s="80">
        <f t="shared" si="147"/>
        <v>0</v>
      </c>
      <c r="AM478" s="79"/>
      <c r="AN478" s="322"/>
      <c r="AO478" s="79">
        <v>1755</v>
      </c>
      <c r="AP478" s="322">
        <v>1736</v>
      </c>
      <c r="AQ478" s="79">
        <v>2021</v>
      </c>
      <c r="AR478" s="322">
        <v>1752</v>
      </c>
      <c r="AS478" s="79">
        <v>1794</v>
      </c>
      <c r="AT478" s="322">
        <v>2178</v>
      </c>
      <c r="AU478" s="325">
        <f t="shared" si="148"/>
        <v>5570</v>
      </c>
      <c r="AV478" s="90">
        <f t="shared" si="158"/>
        <v>232.08333333333334</v>
      </c>
      <c r="AW478" s="324">
        <f t="shared" si="149"/>
        <v>5666</v>
      </c>
      <c r="AX478" s="80">
        <f t="shared" si="159"/>
        <v>236.08333333333334</v>
      </c>
      <c r="AY478" s="326">
        <f t="shared" si="150"/>
        <v>3401.3500000000004</v>
      </c>
      <c r="AZ478" s="80">
        <f t="shared" si="151"/>
        <v>3407.4833333333336</v>
      </c>
    </row>
    <row r="479" spans="1:52">
      <c r="A479" s="194" t="s">
        <v>865</v>
      </c>
      <c r="B479" s="387" t="s">
        <v>873</v>
      </c>
      <c r="C479" s="225">
        <v>218229</v>
      </c>
      <c r="D479" s="196">
        <v>5</v>
      </c>
      <c r="E479" s="162" t="s">
        <v>442</v>
      </c>
      <c r="F479" s="163" t="s">
        <v>442</v>
      </c>
      <c r="G479" s="79"/>
      <c r="H479" s="322"/>
      <c r="I479" s="79">
        <v>31585.5</v>
      </c>
      <c r="J479" s="322">
        <v>30259.5</v>
      </c>
      <c r="K479" s="79">
        <v>3728</v>
      </c>
      <c r="L479" s="322">
        <v>3825</v>
      </c>
      <c r="M479" s="79">
        <v>32288.5</v>
      </c>
      <c r="N479" s="322">
        <v>35078</v>
      </c>
      <c r="O479" s="323">
        <f t="shared" si="142"/>
        <v>67602</v>
      </c>
      <c r="P479" s="638">
        <f t="shared" si="152"/>
        <v>67602</v>
      </c>
      <c r="Q479" s="322">
        <v>117</v>
      </c>
      <c r="R479" s="90">
        <f t="shared" si="156"/>
        <v>2253.4</v>
      </c>
      <c r="S479" s="324">
        <f t="shared" si="143"/>
        <v>69162.5</v>
      </c>
      <c r="T479" s="638">
        <f t="shared" si="153"/>
        <v>69162.5</v>
      </c>
      <c r="U479" s="322">
        <v>215</v>
      </c>
      <c r="V479" s="80">
        <f t="shared" si="157"/>
        <v>2305.4166666666665</v>
      </c>
      <c r="W479" s="79"/>
      <c r="X479" s="322"/>
      <c r="Y479" s="79"/>
      <c r="Z479" s="322"/>
      <c r="AA479" s="79"/>
      <c r="AB479" s="322"/>
      <c r="AC479" s="79"/>
      <c r="AD479" s="322"/>
      <c r="AE479" s="323">
        <f t="shared" si="144"/>
        <v>0</v>
      </c>
      <c r="AF479" s="638">
        <f t="shared" si="154"/>
        <v>0</v>
      </c>
      <c r="AG479" s="322"/>
      <c r="AH479" s="90">
        <f t="shared" si="145"/>
        <v>0</v>
      </c>
      <c r="AI479" s="80">
        <f t="shared" si="146"/>
        <v>0</v>
      </c>
      <c r="AJ479" s="638">
        <f t="shared" si="155"/>
        <v>0</v>
      </c>
      <c r="AK479" s="322"/>
      <c r="AL479" s="80">
        <f t="shared" si="147"/>
        <v>0</v>
      </c>
      <c r="AM479" s="79"/>
      <c r="AN479" s="322"/>
      <c r="AO479" s="79">
        <v>355</v>
      </c>
      <c r="AP479" s="322">
        <v>357</v>
      </c>
      <c r="AQ479" s="79">
        <v>891</v>
      </c>
      <c r="AR479" s="322">
        <v>867</v>
      </c>
      <c r="AS479" s="79">
        <v>261</v>
      </c>
      <c r="AT479" s="322">
        <v>402</v>
      </c>
      <c r="AU479" s="325">
        <f t="shared" si="148"/>
        <v>1507</v>
      </c>
      <c r="AV479" s="90">
        <f t="shared" si="158"/>
        <v>62.791666666666664</v>
      </c>
      <c r="AW479" s="324">
        <f t="shared" si="149"/>
        <v>1626</v>
      </c>
      <c r="AX479" s="80">
        <f t="shared" si="159"/>
        <v>67.75</v>
      </c>
      <c r="AY479" s="326">
        <f t="shared" si="150"/>
        <v>2316.1916666666666</v>
      </c>
      <c r="AZ479" s="80">
        <f t="shared" si="151"/>
        <v>2373.1666666666665</v>
      </c>
    </row>
    <row r="480" spans="1:52">
      <c r="A480" s="194" t="s">
        <v>865</v>
      </c>
      <c r="B480" s="195" t="s">
        <v>874</v>
      </c>
      <c r="C480" s="226">
        <v>218733</v>
      </c>
      <c r="D480" s="197">
        <v>5</v>
      </c>
      <c r="E480" s="162" t="s">
        <v>442</v>
      </c>
      <c r="F480" s="163" t="s">
        <v>442</v>
      </c>
      <c r="G480" s="79"/>
      <c r="H480" s="322"/>
      <c r="I480" s="79">
        <v>53324</v>
      </c>
      <c r="J480" s="322">
        <v>58657</v>
      </c>
      <c r="K480" s="79">
        <v>7601</v>
      </c>
      <c r="L480" s="322">
        <v>7531</v>
      </c>
      <c r="M480" s="79">
        <v>63993</v>
      </c>
      <c r="N480" s="322">
        <v>59286</v>
      </c>
      <c r="O480" s="323">
        <f t="shared" si="142"/>
        <v>124918</v>
      </c>
      <c r="P480" s="638">
        <f t="shared" si="152"/>
        <v>124918</v>
      </c>
      <c r="Q480" s="322">
        <v>0</v>
      </c>
      <c r="R480" s="90">
        <f t="shared" si="156"/>
        <v>4163.9333333333334</v>
      </c>
      <c r="S480" s="324">
        <f t="shared" si="143"/>
        <v>125474</v>
      </c>
      <c r="T480" s="638">
        <f t="shared" si="153"/>
        <v>125474</v>
      </c>
      <c r="U480" s="322">
        <v>156</v>
      </c>
      <c r="V480" s="80">
        <f t="shared" si="157"/>
        <v>4182.4666666666662</v>
      </c>
      <c r="W480" s="79"/>
      <c r="X480" s="322"/>
      <c r="Y480" s="79"/>
      <c r="Z480" s="322"/>
      <c r="AA480" s="79"/>
      <c r="AB480" s="322"/>
      <c r="AC480" s="79"/>
      <c r="AD480" s="322"/>
      <c r="AE480" s="323">
        <f t="shared" si="144"/>
        <v>0</v>
      </c>
      <c r="AF480" s="638">
        <f t="shared" si="154"/>
        <v>0</v>
      </c>
      <c r="AG480" s="322"/>
      <c r="AH480" s="90">
        <f t="shared" si="145"/>
        <v>0</v>
      </c>
      <c r="AI480" s="80">
        <f t="shared" si="146"/>
        <v>0</v>
      </c>
      <c r="AJ480" s="638">
        <f t="shared" si="155"/>
        <v>0</v>
      </c>
      <c r="AK480" s="322"/>
      <c r="AL480" s="80">
        <f t="shared" si="147"/>
        <v>0</v>
      </c>
      <c r="AM480" s="79"/>
      <c r="AN480" s="322"/>
      <c r="AO480" s="79">
        <v>4130</v>
      </c>
      <c r="AP480" s="322">
        <v>4655</v>
      </c>
      <c r="AQ480" s="79">
        <v>2692</v>
      </c>
      <c r="AR480" s="322">
        <v>2957</v>
      </c>
      <c r="AS480" s="79">
        <v>4288</v>
      </c>
      <c r="AT480" s="322">
        <v>4758</v>
      </c>
      <c r="AU480" s="325">
        <f t="shared" si="148"/>
        <v>11110</v>
      </c>
      <c r="AV480" s="90">
        <f t="shared" si="158"/>
        <v>462.91666666666669</v>
      </c>
      <c r="AW480" s="324">
        <f t="shared" si="149"/>
        <v>12370</v>
      </c>
      <c r="AX480" s="80">
        <f t="shared" si="159"/>
        <v>515.41666666666663</v>
      </c>
      <c r="AY480" s="326">
        <f t="shared" si="150"/>
        <v>4626.8500000000004</v>
      </c>
      <c r="AZ480" s="80">
        <f t="shared" si="151"/>
        <v>4697.8833333333332</v>
      </c>
    </row>
    <row r="481" spans="1:52">
      <c r="A481" s="194" t="s">
        <v>865</v>
      </c>
      <c r="B481" s="195" t="s">
        <v>875</v>
      </c>
      <c r="C481" s="226">
        <v>218645</v>
      </c>
      <c r="D481" s="197">
        <v>6</v>
      </c>
      <c r="E481" s="162" t="s">
        <v>442</v>
      </c>
      <c r="F481" s="163" t="s">
        <v>442</v>
      </c>
      <c r="G481" s="79"/>
      <c r="H481" s="322"/>
      <c r="I481" s="79">
        <v>36027</v>
      </c>
      <c r="J481" s="322">
        <v>36699</v>
      </c>
      <c r="K481" s="79">
        <v>4726</v>
      </c>
      <c r="L481" s="322">
        <v>4664</v>
      </c>
      <c r="M481" s="79">
        <v>39985</v>
      </c>
      <c r="N481" s="322">
        <v>40140</v>
      </c>
      <c r="O481" s="323">
        <f t="shared" si="142"/>
        <v>80738</v>
      </c>
      <c r="P481" s="638">
        <f t="shared" si="152"/>
        <v>80738</v>
      </c>
      <c r="Q481" s="322">
        <v>906</v>
      </c>
      <c r="R481" s="90">
        <f t="shared" si="156"/>
        <v>2691.2666666666669</v>
      </c>
      <c r="S481" s="324">
        <f t="shared" si="143"/>
        <v>81503</v>
      </c>
      <c r="T481" s="638">
        <f t="shared" si="153"/>
        <v>81503</v>
      </c>
      <c r="U481" s="322">
        <v>1113</v>
      </c>
      <c r="V481" s="80">
        <f t="shared" si="157"/>
        <v>2716.7666666666669</v>
      </c>
      <c r="W481" s="79"/>
      <c r="X481" s="322"/>
      <c r="Y481" s="79"/>
      <c r="Z481" s="322"/>
      <c r="AA481" s="79"/>
      <c r="AB481" s="322"/>
      <c r="AC481" s="79"/>
      <c r="AD481" s="322"/>
      <c r="AE481" s="323">
        <f t="shared" si="144"/>
        <v>0</v>
      </c>
      <c r="AF481" s="638">
        <f t="shared" si="154"/>
        <v>0</v>
      </c>
      <c r="AG481" s="322"/>
      <c r="AH481" s="90">
        <f t="shared" si="145"/>
        <v>0</v>
      </c>
      <c r="AI481" s="80">
        <f t="shared" si="146"/>
        <v>0</v>
      </c>
      <c r="AJ481" s="638">
        <f t="shared" si="155"/>
        <v>0</v>
      </c>
      <c r="AK481" s="322"/>
      <c r="AL481" s="80">
        <f t="shared" si="147"/>
        <v>0</v>
      </c>
      <c r="AM481" s="79"/>
      <c r="AN481" s="322"/>
      <c r="AO481" s="79">
        <v>528</v>
      </c>
      <c r="AP481" s="322">
        <v>512</v>
      </c>
      <c r="AQ481" s="79">
        <v>463</v>
      </c>
      <c r="AR481" s="322">
        <v>380</v>
      </c>
      <c r="AS481" s="79">
        <v>499</v>
      </c>
      <c r="AT481" s="322">
        <v>598</v>
      </c>
      <c r="AU481" s="325">
        <f t="shared" si="148"/>
        <v>1490</v>
      </c>
      <c r="AV481" s="90">
        <f t="shared" si="158"/>
        <v>62.083333333333336</v>
      </c>
      <c r="AW481" s="324">
        <f t="shared" si="149"/>
        <v>1490</v>
      </c>
      <c r="AX481" s="80">
        <f t="shared" si="159"/>
        <v>62.083333333333336</v>
      </c>
      <c r="AY481" s="326">
        <f t="shared" si="150"/>
        <v>2753.3500000000004</v>
      </c>
      <c r="AZ481" s="80">
        <f t="shared" si="151"/>
        <v>2778.8500000000004</v>
      </c>
    </row>
    <row r="482" spans="1:52">
      <c r="A482" s="194" t="s">
        <v>865</v>
      </c>
      <c r="B482" s="195" t="s">
        <v>876</v>
      </c>
      <c r="C482" s="225">
        <v>218742</v>
      </c>
      <c r="D482" s="196">
        <v>6</v>
      </c>
      <c r="E482" s="162" t="s">
        <v>442</v>
      </c>
      <c r="F482" s="163" t="s">
        <v>442</v>
      </c>
      <c r="G482" s="79"/>
      <c r="H482" s="322"/>
      <c r="I482" s="79">
        <v>59380</v>
      </c>
      <c r="J482" s="322">
        <v>61034</v>
      </c>
      <c r="K482" s="79">
        <v>8078</v>
      </c>
      <c r="L482" s="322">
        <v>8209</v>
      </c>
      <c r="M482" s="79">
        <v>66448</v>
      </c>
      <c r="N482" s="322">
        <v>67814</v>
      </c>
      <c r="O482" s="323">
        <f t="shared" si="142"/>
        <v>133906</v>
      </c>
      <c r="P482" s="638">
        <f t="shared" si="152"/>
        <v>133906</v>
      </c>
      <c r="Q482" s="322">
        <v>201</v>
      </c>
      <c r="R482" s="90">
        <f t="shared" si="156"/>
        <v>4463.5333333333338</v>
      </c>
      <c r="S482" s="324">
        <f t="shared" si="143"/>
        <v>137057</v>
      </c>
      <c r="T482" s="638">
        <f t="shared" si="153"/>
        <v>137057</v>
      </c>
      <c r="U482" s="322">
        <v>739</v>
      </c>
      <c r="V482" s="80">
        <f t="shared" si="157"/>
        <v>4568.5666666666666</v>
      </c>
      <c r="W482" s="79"/>
      <c r="X482" s="322"/>
      <c r="Y482" s="79"/>
      <c r="Z482" s="322"/>
      <c r="AA482" s="79"/>
      <c r="AB482" s="322"/>
      <c r="AC482" s="79"/>
      <c r="AD482" s="322"/>
      <c r="AE482" s="323">
        <f t="shared" si="144"/>
        <v>0</v>
      </c>
      <c r="AF482" s="638">
        <f t="shared" si="154"/>
        <v>0</v>
      </c>
      <c r="AG482" s="322"/>
      <c r="AH482" s="90">
        <f t="shared" si="145"/>
        <v>0</v>
      </c>
      <c r="AI482" s="80">
        <f t="shared" si="146"/>
        <v>0</v>
      </c>
      <c r="AJ482" s="638">
        <f t="shared" si="155"/>
        <v>0</v>
      </c>
      <c r="AK482" s="322"/>
      <c r="AL482" s="80">
        <f t="shared" si="147"/>
        <v>0</v>
      </c>
      <c r="AM482" s="79"/>
      <c r="AN482" s="322"/>
      <c r="AO482" s="79">
        <v>295</v>
      </c>
      <c r="AP482" s="322">
        <v>360</v>
      </c>
      <c r="AQ482" s="79">
        <v>678</v>
      </c>
      <c r="AR482" s="322">
        <v>564</v>
      </c>
      <c r="AS482" s="79">
        <v>206</v>
      </c>
      <c r="AT482" s="322">
        <v>232</v>
      </c>
      <c r="AU482" s="325">
        <f t="shared" si="148"/>
        <v>1179</v>
      </c>
      <c r="AV482" s="90">
        <f t="shared" si="158"/>
        <v>49.125</v>
      </c>
      <c r="AW482" s="324">
        <f t="shared" si="149"/>
        <v>1156</v>
      </c>
      <c r="AX482" s="80">
        <f t="shared" si="159"/>
        <v>48.166666666666664</v>
      </c>
      <c r="AY482" s="326">
        <f t="shared" si="150"/>
        <v>4512.6583333333338</v>
      </c>
      <c r="AZ482" s="80">
        <f t="shared" si="151"/>
        <v>4616.7333333333336</v>
      </c>
    </row>
    <row r="483" spans="1:52">
      <c r="A483" s="194" t="s">
        <v>865</v>
      </c>
      <c r="B483" s="194" t="s">
        <v>877</v>
      </c>
      <c r="C483" s="225">
        <v>218654</v>
      </c>
      <c r="D483" s="196">
        <v>7</v>
      </c>
      <c r="E483" s="162" t="s">
        <v>442</v>
      </c>
      <c r="F483" s="163" t="s">
        <v>442</v>
      </c>
      <c r="G483" s="79"/>
      <c r="H483" s="322"/>
      <c r="I483" s="79">
        <v>13596</v>
      </c>
      <c r="J483" s="322">
        <v>15338</v>
      </c>
      <c r="K483" s="79">
        <v>2735</v>
      </c>
      <c r="L483" s="322">
        <v>2454</v>
      </c>
      <c r="M483" s="79">
        <v>16509</v>
      </c>
      <c r="N483" s="322">
        <v>17859</v>
      </c>
      <c r="O483" s="323">
        <f t="shared" si="142"/>
        <v>32840</v>
      </c>
      <c r="P483" s="638">
        <f t="shared" si="152"/>
        <v>32840</v>
      </c>
      <c r="Q483" s="322">
        <v>320</v>
      </c>
      <c r="R483" s="90">
        <f t="shared" si="156"/>
        <v>1094.6666666666667</v>
      </c>
      <c r="S483" s="324">
        <f t="shared" si="143"/>
        <v>35651</v>
      </c>
      <c r="T483" s="638">
        <f t="shared" si="153"/>
        <v>35651</v>
      </c>
      <c r="U483" s="322">
        <v>332</v>
      </c>
      <c r="V483" s="80">
        <f t="shared" si="157"/>
        <v>1188.3666666666666</v>
      </c>
      <c r="W483" s="79"/>
      <c r="X483" s="322"/>
      <c r="Y483" s="79"/>
      <c r="Z483" s="322"/>
      <c r="AA483" s="79"/>
      <c r="AB483" s="322"/>
      <c r="AC483" s="79"/>
      <c r="AD483" s="322"/>
      <c r="AE483" s="323">
        <f t="shared" si="144"/>
        <v>0</v>
      </c>
      <c r="AF483" s="638">
        <f t="shared" si="154"/>
        <v>0</v>
      </c>
      <c r="AG483" s="322"/>
      <c r="AH483" s="90">
        <f t="shared" si="145"/>
        <v>0</v>
      </c>
      <c r="AI483" s="80">
        <f t="shared" si="146"/>
        <v>0</v>
      </c>
      <c r="AJ483" s="638">
        <f t="shared" si="155"/>
        <v>0</v>
      </c>
      <c r="AK483" s="322"/>
      <c r="AL483" s="80">
        <f t="shared" si="147"/>
        <v>0</v>
      </c>
      <c r="AM483" s="79"/>
      <c r="AN483" s="322"/>
      <c r="AO483" s="79">
        <v>0</v>
      </c>
      <c r="AP483" s="322"/>
      <c r="AQ483" s="79">
        <v>0</v>
      </c>
      <c r="AR483" s="322"/>
      <c r="AS483" s="79">
        <v>0</v>
      </c>
      <c r="AT483" s="322"/>
      <c r="AU483" s="325">
        <f t="shared" si="148"/>
        <v>0</v>
      </c>
      <c r="AV483" s="90">
        <f t="shared" si="158"/>
        <v>0</v>
      </c>
      <c r="AW483" s="324">
        <f t="shared" si="149"/>
        <v>0</v>
      </c>
      <c r="AX483" s="80">
        <f t="shared" si="159"/>
        <v>0</v>
      </c>
      <c r="AY483" s="326">
        <f t="shared" si="150"/>
        <v>1094.6666666666667</v>
      </c>
      <c r="AZ483" s="80">
        <f t="shared" si="151"/>
        <v>1188.3666666666666</v>
      </c>
    </row>
    <row r="484" spans="1:52">
      <c r="A484" s="194" t="s">
        <v>865</v>
      </c>
      <c r="B484" s="194" t="s">
        <v>878</v>
      </c>
      <c r="C484" s="225">
        <v>218113</v>
      </c>
      <c r="D484" s="196">
        <v>8</v>
      </c>
      <c r="E484" s="162" t="s">
        <v>442</v>
      </c>
      <c r="F484" s="163" t="s">
        <v>442</v>
      </c>
      <c r="G484" s="79"/>
      <c r="H484" s="322"/>
      <c r="I484" s="79">
        <v>121157.32</v>
      </c>
      <c r="J484" s="322">
        <v>127396.35</v>
      </c>
      <c r="K484" s="79">
        <v>49984.43</v>
      </c>
      <c r="L484" s="322">
        <v>48058.9</v>
      </c>
      <c r="M484" s="79">
        <v>141797.04999999996</v>
      </c>
      <c r="N484" s="322">
        <v>151098.14000000001</v>
      </c>
      <c r="O484" s="323">
        <f t="shared" si="142"/>
        <v>312938.79999999993</v>
      </c>
      <c r="P484" s="638">
        <f t="shared" si="152"/>
        <v>312938.79999999993</v>
      </c>
      <c r="Q484" s="322">
        <v>580</v>
      </c>
      <c r="R484" s="90">
        <f t="shared" si="156"/>
        <v>10431.293333333331</v>
      </c>
      <c r="S484" s="324">
        <f t="shared" si="143"/>
        <v>326553.39</v>
      </c>
      <c r="T484" s="638">
        <f t="shared" si="153"/>
        <v>326553.39</v>
      </c>
      <c r="U484" s="322">
        <v>4846</v>
      </c>
      <c r="V484" s="80">
        <f t="shared" si="157"/>
        <v>10885.113000000001</v>
      </c>
      <c r="W484" s="79"/>
      <c r="X484" s="322"/>
      <c r="Y484" s="79"/>
      <c r="Z484" s="322"/>
      <c r="AA484" s="79"/>
      <c r="AB484" s="322"/>
      <c r="AC484" s="79"/>
      <c r="AD484" s="322"/>
      <c r="AE484" s="323">
        <f t="shared" si="144"/>
        <v>0</v>
      </c>
      <c r="AF484" s="638">
        <f t="shared" si="154"/>
        <v>0</v>
      </c>
      <c r="AG484" s="322"/>
      <c r="AH484" s="90">
        <f t="shared" si="145"/>
        <v>0</v>
      </c>
      <c r="AI484" s="80">
        <f t="shared" si="146"/>
        <v>0</v>
      </c>
      <c r="AJ484" s="638">
        <f t="shared" si="155"/>
        <v>0</v>
      </c>
      <c r="AK484" s="322"/>
      <c r="AL484" s="80">
        <f t="shared" si="147"/>
        <v>0</v>
      </c>
      <c r="AM484" s="79"/>
      <c r="AN484" s="322"/>
      <c r="AO484" s="79">
        <v>0</v>
      </c>
      <c r="AP484" s="322"/>
      <c r="AQ484" s="79">
        <v>0</v>
      </c>
      <c r="AR484" s="322"/>
      <c r="AS484" s="79">
        <v>0</v>
      </c>
      <c r="AT484" s="322"/>
      <c r="AU484" s="325">
        <f t="shared" si="148"/>
        <v>0</v>
      </c>
      <c r="AV484" s="90">
        <f t="shared" si="158"/>
        <v>0</v>
      </c>
      <c r="AW484" s="324">
        <f t="shared" si="149"/>
        <v>0</v>
      </c>
      <c r="AX484" s="80">
        <f t="shared" si="159"/>
        <v>0</v>
      </c>
      <c r="AY484" s="326">
        <f t="shared" si="150"/>
        <v>10431.293333333331</v>
      </c>
      <c r="AZ484" s="80">
        <f t="shared" si="151"/>
        <v>10885.113000000001</v>
      </c>
    </row>
    <row r="485" spans="1:52">
      <c r="A485" s="194" t="s">
        <v>865</v>
      </c>
      <c r="B485" s="194" t="s">
        <v>879</v>
      </c>
      <c r="C485" s="225">
        <v>218353</v>
      </c>
      <c r="D485" s="198">
        <v>8</v>
      </c>
      <c r="E485" s="162" t="s">
        <v>442</v>
      </c>
      <c r="F485" s="163" t="s">
        <v>442</v>
      </c>
      <c r="G485" s="79"/>
      <c r="H485" s="322"/>
      <c r="I485" s="79">
        <v>101030.95000000001</v>
      </c>
      <c r="J485" s="322">
        <v>104410.07</v>
      </c>
      <c r="K485" s="79">
        <v>40951.24</v>
      </c>
      <c r="L485" s="322">
        <v>41868.949999999997</v>
      </c>
      <c r="M485" s="79">
        <v>112207.58</v>
      </c>
      <c r="N485" s="322">
        <v>118218.87</v>
      </c>
      <c r="O485" s="323">
        <f t="shared" si="142"/>
        <v>254189.77000000002</v>
      </c>
      <c r="P485" s="638">
        <f t="shared" si="152"/>
        <v>254189.77000000002</v>
      </c>
      <c r="Q485" s="322">
        <v>1722</v>
      </c>
      <c r="R485" s="90">
        <f t="shared" si="156"/>
        <v>8472.9923333333336</v>
      </c>
      <c r="S485" s="324">
        <f t="shared" si="143"/>
        <v>264497.89</v>
      </c>
      <c r="T485" s="638">
        <f t="shared" si="153"/>
        <v>264497.89</v>
      </c>
      <c r="U485" s="322">
        <v>1663</v>
      </c>
      <c r="V485" s="80">
        <f t="shared" si="157"/>
        <v>8816.596333333333</v>
      </c>
      <c r="W485" s="79"/>
      <c r="X485" s="322"/>
      <c r="Y485" s="79"/>
      <c r="Z485" s="322"/>
      <c r="AA485" s="79"/>
      <c r="AB485" s="322"/>
      <c r="AC485" s="79"/>
      <c r="AD485" s="322"/>
      <c r="AE485" s="323">
        <f t="shared" si="144"/>
        <v>0</v>
      </c>
      <c r="AF485" s="638">
        <f t="shared" si="154"/>
        <v>0</v>
      </c>
      <c r="AG485" s="322"/>
      <c r="AH485" s="90">
        <f t="shared" si="145"/>
        <v>0</v>
      </c>
      <c r="AI485" s="80">
        <f t="shared" si="146"/>
        <v>0</v>
      </c>
      <c r="AJ485" s="638">
        <f t="shared" si="155"/>
        <v>0</v>
      </c>
      <c r="AK485" s="322"/>
      <c r="AL485" s="80">
        <f t="shared" si="147"/>
        <v>0</v>
      </c>
      <c r="AM485" s="79"/>
      <c r="AN485" s="322"/>
      <c r="AO485" s="79">
        <v>0</v>
      </c>
      <c r="AP485" s="322"/>
      <c r="AQ485" s="79">
        <v>0</v>
      </c>
      <c r="AR485" s="322"/>
      <c r="AS485" s="79">
        <v>0</v>
      </c>
      <c r="AT485" s="322"/>
      <c r="AU485" s="325">
        <f t="shared" si="148"/>
        <v>0</v>
      </c>
      <c r="AV485" s="90">
        <f t="shared" si="158"/>
        <v>0</v>
      </c>
      <c r="AW485" s="324">
        <f t="shared" si="149"/>
        <v>0</v>
      </c>
      <c r="AX485" s="80">
        <f t="shared" si="159"/>
        <v>0</v>
      </c>
      <c r="AY485" s="326">
        <f t="shared" si="150"/>
        <v>8472.9923333333336</v>
      </c>
      <c r="AZ485" s="80">
        <f t="shared" si="151"/>
        <v>8816.596333333333</v>
      </c>
    </row>
    <row r="486" spans="1:52">
      <c r="A486" s="194" t="s">
        <v>865</v>
      </c>
      <c r="B486" s="194" t="s">
        <v>880</v>
      </c>
      <c r="C486" s="225">
        <v>218894</v>
      </c>
      <c r="D486" s="196">
        <v>8</v>
      </c>
      <c r="E486" s="162" t="s">
        <v>442</v>
      </c>
      <c r="F486" s="163" t="s">
        <v>442</v>
      </c>
      <c r="G486" s="79"/>
      <c r="H486" s="322"/>
      <c r="I486" s="79">
        <v>107855.11</v>
      </c>
      <c r="J486" s="322">
        <v>113241.93</v>
      </c>
      <c r="K486" s="79">
        <v>43205.389999999992</v>
      </c>
      <c r="L486" s="322">
        <v>45570.1</v>
      </c>
      <c r="M486" s="79">
        <v>120329.23000000001</v>
      </c>
      <c r="N486" s="322">
        <v>128017.17</v>
      </c>
      <c r="O486" s="323">
        <f t="shared" si="142"/>
        <v>271389.73</v>
      </c>
      <c r="P486" s="638">
        <f t="shared" si="152"/>
        <v>271389.73</v>
      </c>
      <c r="Q486" s="322">
        <v>5980</v>
      </c>
      <c r="R486" s="90">
        <f t="shared" si="156"/>
        <v>9046.3243333333321</v>
      </c>
      <c r="S486" s="324">
        <f t="shared" si="143"/>
        <v>286829.2</v>
      </c>
      <c r="T486" s="638">
        <f t="shared" si="153"/>
        <v>286829.2</v>
      </c>
      <c r="U486" s="322">
        <v>5977</v>
      </c>
      <c r="V486" s="80">
        <f t="shared" si="157"/>
        <v>9560.9733333333334</v>
      </c>
      <c r="W486" s="79"/>
      <c r="X486" s="322"/>
      <c r="Y486" s="79"/>
      <c r="Z486" s="322"/>
      <c r="AA486" s="79"/>
      <c r="AB486" s="322"/>
      <c r="AC486" s="79"/>
      <c r="AD486" s="322"/>
      <c r="AE486" s="323">
        <f t="shared" si="144"/>
        <v>0</v>
      </c>
      <c r="AF486" s="638">
        <f t="shared" si="154"/>
        <v>0</v>
      </c>
      <c r="AG486" s="322"/>
      <c r="AH486" s="90">
        <f t="shared" si="145"/>
        <v>0</v>
      </c>
      <c r="AI486" s="80">
        <f t="shared" si="146"/>
        <v>0</v>
      </c>
      <c r="AJ486" s="638">
        <f t="shared" si="155"/>
        <v>0</v>
      </c>
      <c r="AK486" s="322"/>
      <c r="AL486" s="80">
        <f t="shared" si="147"/>
        <v>0</v>
      </c>
      <c r="AM486" s="79"/>
      <c r="AN486" s="322"/>
      <c r="AO486" s="79">
        <v>0</v>
      </c>
      <c r="AP486" s="322"/>
      <c r="AQ486" s="79">
        <v>0</v>
      </c>
      <c r="AR486" s="322"/>
      <c r="AS486" s="79">
        <v>0</v>
      </c>
      <c r="AT486" s="322"/>
      <c r="AU486" s="325">
        <f t="shared" si="148"/>
        <v>0</v>
      </c>
      <c r="AV486" s="90">
        <f t="shared" si="158"/>
        <v>0</v>
      </c>
      <c r="AW486" s="324">
        <f t="shared" si="149"/>
        <v>0</v>
      </c>
      <c r="AX486" s="80">
        <f t="shared" si="159"/>
        <v>0</v>
      </c>
      <c r="AY486" s="326">
        <f t="shared" si="150"/>
        <v>9046.3243333333321</v>
      </c>
      <c r="AZ486" s="80">
        <f t="shared" si="151"/>
        <v>9560.9733333333334</v>
      </c>
    </row>
    <row r="487" spans="1:52">
      <c r="A487" s="194" t="s">
        <v>865</v>
      </c>
      <c r="B487" s="194" t="s">
        <v>881</v>
      </c>
      <c r="C487" s="225">
        <v>217615</v>
      </c>
      <c r="D487" s="196">
        <v>9</v>
      </c>
      <c r="E487" s="162" t="s">
        <v>442</v>
      </c>
      <c r="F487" s="163" t="s">
        <v>442</v>
      </c>
      <c r="G487" s="79"/>
      <c r="H487" s="322"/>
      <c r="I487" s="79">
        <v>25691.34</v>
      </c>
      <c r="J487" s="322">
        <v>26679.67</v>
      </c>
      <c r="K487" s="79">
        <v>11308.62</v>
      </c>
      <c r="L487" s="322">
        <v>11818.4</v>
      </c>
      <c r="M487" s="79">
        <v>27796.739999999998</v>
      </c>
      <c r="N487" s="322">
        <v>29641.65</v>
      </c>
      <c r="O487" s="323">
        <f t="shared" si="142"/>
        <v>64796.7</v>
      </c>
      <c r="P487" s="638">
        <f t="shared" si="152"/>
        <v>64796.7</v>
      </c>
      <c r="Q487" s="322">
        <v>48</v>
      </c>
      <c r="R487" s="90">
        <f t="shared" si="156"/>
        <v>2159.89</v>
      </c>
      <c r="S487" s="324">
        <f t="shared" si="143"/>
        <v>68139.72</v>
      </c>
      <c r="T487" s="638">
        <f t="shared" si="153"/>
        <v>68139.72</v>
      </c>
      <c r="U487" s="322">
        <v>131</v>
      </c>
      <c r="V487" s="80">
        <f t="shared" si="157"/>
        <v>2271.3240000000001</v>
      </c>
      <c r="W487" s="79"/>
      <c r="X487" s="322"/>
      <c r="Y487" s="79"/>
      <c r="Z487" s="322"/>
      <c r="AA487" s="79"/>
      <c r="AB487" s="322"/>
      <c r="AC487" s="79"/>
      <c r="AD487" s="322"/>
      <c r="AE487" s="323">
        <f t="shared" si="144"/>
        <v>0</v>
      </c>
      <c r="AF487" s="638">
        <f t="shared" si="154"/>
        <v>0</v>
      </c>
      <c r="AG487" s="322"/>
      <c r="AH487" s="90">
        <f t="shared" si="145"/>
        <v>0</v>
      </c>
      <c r="AI487" s="80">
        <f t="shared" si="146"/>
        <v>0</v>
      </c>
      <c r="AJ487" s="638">
        <f t="shared" si="155"/>
        <v>0</v>
      </c>
      <c r="AK487" s="322"/>
      <c r="AL487" s="80">
        <f t="shared" si="147"/>
        <v>0</v>
      </c>
      <c r="AM487" s="79"/>
      <c r="AN487" s="322"/>
      <c r="AO487" s="79">
        <v>0</v>
      </c>
      <c r="AP487" s="322"/>
      <c r="AQ487" s="79">
        <v>0</v>
      </c>
      <c r="AR487" s="322"/>
      <c r="AS487" s="79">
        <v>0</v>
      </c>
      <c r="AT487" s="322"/>
      <c r="AU487" s="325">
        <f t="shared" si="148"/>
        <v>0</v>
      </c>
      <c r="AV487" s="90">
        <f t="shared" si="158"/>
        <v>0</v>
      </c>
      <c r="AW487" s="324">
        <f t="shared" si="149"/>
        <v>0</v>
      </c>
      <c r="AX487" s="80">
        <f t="shared" si="159"/>
        <v>0</v>
      </c>
      <c r="AY487" s="326">
        <f t="shared" si="150"/>
        <v>2159.89</v>
      </c>
      <c r="AZ487" s="80">
        <f t="shared" si="151"/>
        <v>2271.3240000000001</v>
      </c>
    </row>
    <row r="488" spans="1:52">
      <c r="A488" s="194" t="s">
        <v>865</v>
      </c>
      <c r="B488" s="194" t="s">
        <v>882</v>
      </c>
      <c r="C488" s="225">
        <v>218858</v>
      </c>
      <c r="D488" s="196">
        <v>9</v>
      </c>
      <c r="E488" s="162" t="s">
        <v>442</v>
      </c>
      <c r="F488" s="163" t="s">
        <v>442</v>
      </c>
      <c r="G488" s="79"/>
      <c r="H488" s="322"/>
      <c r="I488" s="79">
        <v>25091.680000000004</v>
      </c>
      <c r="J488" s="322">
        <v>29667.48</v>
      </c>
      <c r="K488" s="79">
        <v>11544.13</v>
      </c>
      <c r="L488" s="322">
        <v>12184.56</v>
      </c>
      <c r="M488" s="79">
        <v>31570.560000000001</v>
      </c>
      <c r="N488" s="322">
        <v>30728.74</v>
      </c>
      <c r="O488" s="323">
        <f t="shared" si="142"/>
        <v>68206.37000000001</v>
      </c>
      <c r="P488" s="638">
        <f t="shared" si="152"/>
        <v>68206.37000000001</v>
      </c>
      <c r="Q488" s="322">
        <v>3523</v>
      </c>
      <c r="R488" s="90">
        <f t="shared" si="156"/>
        <v>2273.5456666666669</v>
      </c>
      <c r="S488" s="324">
        <f t="shared" si="143"/>
        <v>72580.78</v>
      </c>
      <c r="T488" s="638">
        <f t="shared" si="153"/>
        <v>72580.78</v>
      </c>
      <c r="U488" s="322">
        <v>3170</v>
      </c>
      <c r="V488" s="80">
        <f t="shared" si="157"/>
        <v>2419.3593333333333</v>
      </c>
      <c r="W488" s="79"/>
      <c r="X488" s="322"/>
      <c r="Y488" s="79"/>
      <c r="Z488" s="322"/>
      <c r="AA488" s="79"/>
      <c r="AB488" s="322"/>
      <c r="AC488" s="79"/>
      <c r="AD488" s="322"/>
      <c r="AE488" s="323">
        <f t="shared" si="144"/>
        <v>0</v>
      </c>
      <c r="AF488" s="638">
        <f t="shared" si="154"/>
        <v>0</v>
      </c>
      <c r="AG488" s="322"/>
      <c r="AH488" s="90">
        <f t="shared" si="145"/>
        <v>0</v>
      </c>
      <c r="AI488" s="80">
        <f t="shared" si="146"/>
        <v>0</v>
      </c>
      <c r="AJ488" s="638">
        <f t="shared" si="155"/>
        <v>0</v>
      </c>
      <c r="AK488" s="322"/>
      <c r="AL488" s="80">
        <f t="shared" si="147"/>
        <v>0</v>
      </c>
      <c r="AM488" s="79"/>
      <c r="AN488" s="322"/>
      <c r="AO488" s="79">
        <v>0</v>
      </c>
      <c r="AP488" s="322"/>
      <c r="AQ488" s="79">
        <v>0</v>
      </c>
      <c r="AR488" s="322"/>
      <c r="AS488" s="79">
        <v>0</v>
      </c>
      <c r="AT488" s="322"/>
      <c r="AU488" s="325">
        <f t="shared" si="148"/>
        <v>0</v>
      </c>
      <c r="AV488" s="90">
        <f t="shared" si="158"/>
        <v>0</v>
      </c>
      <c r="AW488" s="324">
        <f t="shared" si="149"/>
        <v>0</v>
      </c>
      <c r="AX488" s="80">
        <f t="shared" si="159"/>
        <v>0</v>
      </c>
      <c r="AY488" s="326">
        <f t="shared" si="150"/>
        <v>2273.5456666666669</v>
      </c>
      <c r="AZ488" s="80">
        <f t="shared" si="151"/>
        <v>2419.3593333333333</v>
      </c>
    </row>
    <row r="489" spans="1:52">
      <c r="A489" s="194" t="s">
        <v>865</v>
      </c>
      <c r="B489" s="194" t="s">
        <v>883</v>
      </c>
      <c r="C489" s="225">
        <v>218025</v>
      </c>
      <c r="D489" s="196">
        <v>9</v>
      </c>
      <c r="E489" s="162" t="s">
        <v>442</v>
      </c>
      <c r="F489" s="163" t="s">
        <v>442</v>
      </c>
      <c r="G489" s="79"/>
      <c r="H489" s="322"/>
      <c r="I489" s="79">
        <v>39921.81</v>
      </c>
      <c r="J489" s="322">
        <v>42200.79</v>
      </c>
      <c r="K489" s="79">
        <v>15705.86</v>
      </c>
      <c r="L489" s="322">
        <v>16454.919999999998</v>
      </c>
      <c r="M489" s="79">
        <v>43954.090000000004</v>
      </c>
      <c r="N489" s="322">
        <v>49144.25</v>
      </c>
      <c r="O489" s="323">
        <f t="shared" si="142"/>
        <v>99581.760000000009</v>
      </c>
      <c r="P489" s="638">
        <f t="shared" si="152"/>
        <v>99581.760000000009</v>
      </c>
      <c r="Q489" s="322">
        <v>622</v>
      </c>
      <c r="R489" s="90">
        <f t="shared" si="156"/>
        <v>3319.3920000000003</v>
      </c>
      <c r="S489" s="324">
        <f t="shared" si="143"/>
        <v>107799.95999999999</v>
      </c>
      <c r="T489" s="638">
        <f t="shared" si="153"/>
        <v>107799.95999999999</v>
      </c>
      <c r="U489" s="322">
        <v>744</v>
      </c>
      <c r="V489" s="80">
        <f t="shared" si="157"/>
        <v>3593.3319999999999</v>
      </c>
      <c r="W489" s="79"/>
      <c r="X489" s="322"/>
      <c r="Y489" s="79"/>
      <c r="Z489" s="322"/>
      <c r="AA489" s="79"/>
      <c r="AB489" s="322"/>
      <c r="AC489" s="79"/>
      <c r="AD489" s="322"/>
      <c r="AE489" s="323">
        <f t="shared" si="144"/>
        <v>0</v>
      </c>
      <c r="AF489" s="638">
        <f t="shared" si="154"/>
        <v>0</v>
      </c>
      <c r="AG489" s="322"/>
      <c r="AH489" s="90">
        <f t="shared" si="145"/>
        <v>0</v>
      </c>
      <c r="AI489" s="80">
        <f t="shared" si="146"/>
        <v>0</v>
      </c>
      <c r="AJ489" s="638">
        <f t="shared" si="155"/>
        <v>0</v>
      </c>
      <c r="AK489" s="322"/>
      <c r="AL489" s="80">
        <f t="shared" si="147"/>
        <v>0</v>
      </c>
      <c r="AM489" s="79"/>
      <c r="AN489" s="322"/>
      <c r="AO489" s="79">
        <v>0</v>
      </c>
      <c r="AP489" s="322"/>
      <c r="AQ489" s="79">
        <v>0</v>
      </c>
      <c r="AR489" s="322"/>
      <c r="AS489" s="79">
        <v>0</v>
      </c>
      <c r="AT489" s="322"/>
      <c r="AU489" s="325">
        <f t="shared" si="148"/>
        <v>0</v>
      </c>
      <c r="AV489" s="90">
        <f t="shared" si="158"/>
        <v>0</v>
      </c>
      <c r="AW489" s="324">
        <f t="shared" si="149"/>
        <v>0</v>
      </c>
      <c r="AX489" s="80">
        <f t="shared" si="159"/>
        <v>0</v>
      </c>
      <c r="AY489" s="326">
        <f t="shared" si="150"/>
        <v>3319.3920000000003</v>
      </c>
      <c r="AZ489" s="80">
        <f t="shared" si="151"/>
        <v>3593.3319999999999</v>
      </c>
    </row>
    <row r="490" spans="1:52">
      <c r="A490" s="194" t="s">
        <v>865</v>
      </c>
      <c r="B490" s="194" t="s">
        <v>884</v>
      </c>
      <c r="C490" s="225">
        <v>218140</v>
      </c>
      <c r="D490" s="196">
        <v>9</v>
      </c>
      <c r="E490" s="162" t="s">
        <v>442</v>
      </c>
      <c r="F490" s="163" t="s">
        <v>442</v>
      </c>
      <c r="G490" s="79"/>
      <c r="H490" s="322"/>
      <c r="I490" s="79">
        <v>51328.31</v>
      </c>
      <c r="J490" s="322">
        <v>54371.47</v>
      </c>
      <c r="K490" s="79">
        <v>19081.689999999999</v>
      </c>
      <c r="L490" s="322">
        <v>19365.11</v>
      </c>
      <c r="M490" s="79">
        <v>57973.06</v>
      </c>
      <c r="N490" s="322">
        <v>59752.67</v>
      </c>
      <c r="O490" s="323">
        <f t="shared" si="142"/>
        <v>128383.06</v>
      </c>
      <c r="P490" s="638">
        <f t="shared" si="152"/>
        <v>128383.06</v>
      </c>
      <c r="Q490" s="322">
        <v>2322</v>
      </c>
      <c r="R490" s="90">
        <f t="shared" si="156"/>
        <v>4279.4353333333329</v>
      </c>
      <c r="S490" s="324">
        <f t="shared" si="143"/>
        <v>133489.25</v>
      </c>
      <c r="T490" s="638">
        <f t="shared" si="153"/>
        <v>133489.25</v>
      </c>
      <c r="U490" s="322">
        <v>2366</v>
      </c>
      <c r="V490" s="80">
        <f t="shared" si="157"/>
        <v>4449.6416666666664</v>
      </c>
      <c r="W490" s="79"/>
      <c r="X490" s="322"/>
      <c r="Y490" s="79"/>
      <c r="Z490" s="322"/>
      <c r="AA490" s="79"/>
      <c r="AB490" s="322"/>
      <c r="AC490" s="79"/>
      <c r="AD490" s="322"/>
      <c r="AE490" s="323">
        <f t="shared" si="144"/>
        <v>0</v>
      </c>
      <c r="AF490" s="638">
        <f t="shared" si="154"/>
        <v>0</v>
      </c>
      <c r="AG490" s="322"/>
      <c r="AH490" s="90">
        <f t="shared" si="145"/>
        <v>0</v>
      </c>
      <c r="AI490" s="80">
        <f t="shared" si="146"/>
        <v>0</v>
      </c>
      <c r="AJ490" s="638">
        <f t="shared" si="155"/>
        <v>0</v>
      </c>
      <c r="AK490" s="322"/>
      <c r="AL490" s="80">
        <f t="shared" si="147"/>
        <v>0</v>
      </c>
      <c r="AM490" s="79"/>
      <c r="AN490" s="322"/>
      <c r="AO490" s="79">
        <v>0</v>
      </c>
      <c r="AP490" s="322"/>
      <c r="AQ490" s="79">
        <v>0</v>
      </c>
      <c r="AR490" s="322"/>
      <c r="AS490" s="79">
        <v>0</v>
      </c>
      <c r="AT490" s="322"/>
      <c r="AU490" s="325">
        <f t="shared" si="148"/>
        <v>0</v>
      </c>
      <c r="AV490" s="90">
        <f t="shared" si="158"/>
        <v>0</v>
      </c>
      <c r="AW490" s="324">
        <f t="shared" si="149"/>
        <v>0</v>
      </c>
      <c r="AX490" s="80">
        <f t="shared" si="159"/>
        <v>0</v>
      </c>
      <c r="AY490" s="326">
        <f t="shared" si="150"/>
        <v>4279.4353333333329</v>
      </c>
      <c r="AZ490" s="80">
        <f t="shared" si="151"/>
        <v>4449.6416666666664</v>
      </c>
    </row>
    <row r="491" spans="1:52">
      <c r="A491" s="194" t="s">
        <v>865</v>
      </c>
      <c r="B491" s="194" t="s">
        <v>885</v>
      </c>
      <c r="C491" s="225">
        <v>218487</v>
      </c>
      <c r="D491" s="196">
        <v>9</v>
      </c>
      <c r="E491" s="162" t="s">
        <v>442</v>
      </c>
      <c r="F491" s="163" t="s">
        <v>442</v>
      </c>
      <c r="G491" s="79"/>
      <c r="H491" s="322"/>
      <c r="I491" s="79">
        <v>24689.759999999998</v>
      </c>
      <c r="J491" s="322">
        <v>23247.19</v>
      </c>
      <c r="K491" s="79">
        <v>10406.580000000002</v>
      </c>
      <c r="L491" s="322">
        <v>10059.17</v>
      </c>
      <c r="M491" s="79">
        <v>26175.050000000003</v>
      </c>
      <c r="N491" s="322">
        <v>29056.79</v>
      </c>
      <c r="O491" s="323">
        <f t="shared" si="142"/>
        <v>61271.39</v>
      </c>
      <c r="P491" s="638">
        <f t="shared" si="152"/>
        <v>61271.39</v>
      </c>
      <c r="Q491" s="322">
        <v>2132</v>
      </c>
      <c r="R491" s="90">
        <f t="shared" si="156"/>
        <v>2042.3796666666667</v>
      </c>
      <c r="S491" s="324">
        <f t="shared" si="143"/>
        <v>62363.15</v>
      </c>
      <c r="T491" s="638">
        <f t="shared" si="153"/>
        <v>62363.15</v>
      </c>
      <c r="U491" s="322">
        <v>3561</v>
      </c>
      <c r="V491" s="80">
        <f t="shared" si="157"/>
        <v>2078.7716666666665</v>
      </c>
      <c r="W491" s="79"/>
      <c r="X491" s="322"/>
      <c r="Y491" s="79"/>
      <c r="Z491" s="322"/>
      <c r="AA491" s="79"/>
      <c r="AB491" s="322"/>
      <c r="AC491" s="79"/>
      <c r="AD491" s="322"/>
      <c r="AE491" s="323">
        <f t="shared" si="144"/>
        <v>0</v>
      </c>
      <c r="AF491" s="638">
        <f t="shared" si="154"/>
        <v>0</v>
      </c>
      <c r="AG491" s="322"/>
      <c r="AH491" s="90">
        <f t="shared" si="145"/>
        <v>0</v>
      </c>
      <c r="AI491" s="80">
        <f t="shared" si="146"/>
        <v>0</v>
      </c>
      <c r="AJ491" s="638">
        <f t="shared" si="155"/>
        <v>0</v>
      </c>
      <c r="AK491" s="322"/>
      <c r="AL491" s="80">
        <f t="shared" si="147"/>
        <v>0</v>
      </c>
      <c r="AM491" s="79"/>
      <c r="AN491" s="322"/>
      <c r="AO491" s="79">
        <v>0</v>
      </c>
      <c r="AP491" s="322"/>
      <c r="AQ491" s="79">
        <v>0</v>
      </c>
      <c r="AR491" s="322"/>
      <c r="AS491" s="79">
        <v>0</v>
      </c>
      <c r="AT491" s="322"/>
      <c r="AU491" s="325">
        <f t="shared" si="148"/>
        <v>0</v>
      </c>
      <c r="AV491" s="90">
        <f t="shared" si="158"/>
        <v>0</v>
      </c>
      <c r="AW491" s="324">
        <f t="shared" si="149"/>
        <v>0</v>
      </c>
      <c r="AX491" s="80">
        <f t="shared" si="159"/>
        <v>0</v>
      </c>
      <c r="AY491" s="326">
        <f t="shared" si="150"/>
        <v>2042.3796666666667</v>
      </c>
      <c r="AZ491" s="80">
        <f t="shared" si="151"/>
        <v>2078.7716666666665</v>
      </c>
    </row>
    <row r="492" spans="1:52">
      <c r="A492" s="194" t="s">
        <v>865</v>
      </c>
      <c r="B492" s="194" t="s">
        <v>886</v>
      </c>
      <c r="C492" s="225">
        <v>218520</v>
      </c>
      <c r="D492" s="196">
        <v>9</v>
      </c>
      <c r="E492" s="162" t="s">
        <v>442</v>
      </c>
      <c r="F492" s="163" t="s">
        <v>442</v>
      </c>
      <c r="G492" s="79"/>
      <c r="H492" s="322"/>
      <c r="I492" s="79">
        <v>44371.98</v>
      </c>
      <c r="J492" s="322">
        <v>47232.11</v>
      </c>
      <c r="K492" s="79">
        <v>22164.02</v>
      </c>
      <c r="L492" s="322">
        <v>20808.52</v>
      </c>
      <c r="M492" s="79">
        <v>51931.87</v>
      </c>
      <c r="N492" s="322">
        <v>53255.92</v>
      </c>
      <c r="O492" s="323">
        <f t="shared" si="142"/>
        <v>118467.87</v>
      </c>
      <c r="P492" s="638">
        <f t="shared" si="152"/>
        <v>118467.87</v>
      </c>
      <c r="Q492" s="322">
        <v>7082</v>
      </c>
      <c r="R492" s="90">
        <f t="shared" si="156"/>
        <v>3948.9289999999996</v>
      </c>
      <c r="S492" s="324">
        <f t="shared" si="143"/>
        <v>121296.55</v>
      </c>
      <c r="T492" s="638">
        <f t="shared" si="153"/>
        <v>121296.55</v>
      </c>
      <c r="U492" s="322">
        <v>7361</v>
      </c>
      <c r="V492" s="80">
        <f t="shared" si="157"/>
        <v>4043.2183333333332</v>
      </c>
      <c r="W492" s="79"/>
      <c r="X492" s="322"/>
      <c r="Y492" s="79"/>
      <c r="Z492" s="322"/>
      <c r="AA492" s="79"/>
      <c r="AB492" s="322"/>
      <c r="AC492" s="79"/>
      <c r="AD492" s="322"/>
      <c r="AE492" s="323">
        <f t="shared" si="144"/>
        <v>0</v>
      </c>
      <c r="AF492" s="638">
        <f t="shared" si="154"/>
        <v>0</v>
      </c>
      <c r="AG492" s="322"/>
      <c r="AH492" s="90">
        <f t="shared" si="145"/>
        <v>0</v>
      </c>
      <c r="AI492" s="80">
        <f t="shared" si="146"/>
        <v>0</v>
      </c>
      <c r="AJ492" s="638">
        <f t="shared" si="155"/>
        <v>0</v>
      </c>
      <c r="AK492" s="322"/>
      <c r="AL492" s="80">
        <f t="shared" si="147"/>
        <v>0</v>
      </c>
      <c r="AM492" s="79"/>
      <c r="AN492" s="322"/>
      <c r="AO492" s="79">
        <v>0</v>
      </c>
      <c r="AP492" s="322"/>
      <c r="AQ492" s="79">
        <v>0</v>
      </c>
      <c r="AR492" s="322"/>
      <c r="AS492" s="79">
        <v>0</v>
      </c>
      <c r="AT492" s="322"/>
      <c r="AU492" s="325">
        <f t="shared" si="148"/>
        <v>0</v>
      </c>
      <c r="AV492" s="90">
        <f t="shared" si="158"/>
        <v>0</v>
      </c>
      <c r="AW492" s="324">
        <f t="shared" si="149"/>
        <v>0</v>
      </c>
      <c r="AX492" s="80">
        <f t="shared" si="159"/>
        <v>0</v>
      </c>
      <c r="AY492" s="326">
        <f t="shared" si="150"/>
        <v>3948.9289999999996</v>
      </c>
      <c r="AZ492" s="80">
        <f t="shared" si="151"/>
        <v>4043.2183333333332</v>
      </c>
    </row>
    <row r="493" spans="1:52">
      <c r="A493" s="194" t="s">
        <v>865</v>
      </c>
      <c r="B493" s="194" t="s">
        <v>887</v>
      </c>
      <c r="C493" s="225">
        <v>218830</v>
      </c>
      <c r="D493" s="196">
        <v>9</v>
      </c>
      <c r="E493" s="162" t="s">
        <v>442</v>
      </c>
      <c r="F493" s="163" t="s">
        <v>442</v>
      </c>
      <c r="G493" s="79"/>
      <c r="H493" s="322"/>
      <c r="I493" s="79">
        <v>43054.31</v>
      </c>
      <c r="J493" s="322">
        <v>47186.6</v>
      </c>
      <c r="K493" s="79">
        <v>16063.719999999998</v>
      </c>
      <c r="L493" s="322">
        <v>16579.330000000002</v>
      </c>
      <c r="M493" s="79">
        <v>48980.54</v>
      </c>
      <c r="N493" s="322">
        <v>50817.52</v>
      </c>
      <c r="O493" s="323">
        <f t="shared" si="142"/>
        <v>108098.57</v>
      </c>
      <c r="P493" s="638">
        <f t="shared" si="152"/>
        <v>108098.57</v>
      </c>
      <c r="Q493" s="322">
        <v>87</v>
      </c>
      <c r="R493" s="90">
        <f t="shared" si="156"/>
        <v>3603.2856666666671</v>
      </c>
      <c r="S493" s="324">
        <f t="shared" si="143"/>
        <v>114583.45</v>
      </c>
      <c r="T493" s="638">
        <f t="shared" si="153"/>
        <v>114583.45</v>
      </c>
      <c r="U493" s="322">
        <v>539</v>
      </c>
      <c r="V493" s="80">
        <f t="shared" si="157"/>
        <v>3819.4483333333333</v>
      </c>
      <c r="W493" s="79"/>
      <c r="X493" s="322"/>
      <c r="Y493" s="79"/>
      <c r="Z493" s="322"/>
      <c r="AA493" s="79"/>
      <c r="AB493" s="322"/>
      <c r="AC493" s="79"/>
      <c r="AD493" s="322"/>
      <c r="AE493" s="323">
        <f t="shared" si="144"/>
        <v>0</v>
      </c>
      <c r="AF493" s="638">
        <f t="shared" si="154"/>
        <v>0</v>
      </c>
      <c r="AG493" s="322"/>
      <c r="AH493" s="90">
        <f t="shared" si="145"/>
        <v>0</v>
      </c>
      <c r="AI493" s="80">
        <f t="shared" si="146"/>
        <v>0</v>
      </c>
      <c r="AJ493" s="638">
        <f t="shared" si="155"/>
        <v>0</v>
      </c>
      <c r="AK493" s="322"/>
      <c r="AL493" s="80">
        <f t="shared" si="147"/>
        <v>0</v>
      </c>
      <c r="AM493" s="79"/>
      <c r="AN493" s="322"/>
      <c r="AO493" s="79">
        <v>0</v>
      </c>
      <c r="AP493" s="322"/>
      <c r="AQ493" s="79">
        <v>0</v>
      </c>
      <c r="AR493" s="322"/>
      <c r="AS493" s="79">
        <v>0</v>
      </c>
      <c r="AT493" s="322"/>
      <c r="AU493" s="325">
        <f t="shared" si="148"/>
        <v>0</v>
      </c>
      <c r="AV493" s="90">
        <f t="shared" si="158"/>
        <v>0</v>
      </c>
      <c r="AW493" s="324">
        <f t="shared" si="149"/>
        <v>0</v>
      </c>
      <c r="AX493" s="80">
        <f t="shared" si="159"/>
        <v>0</v>
      </c>
      <c r="AY493" s="326">
        <f t="shared" si="150"/>
        <v>3603.2856666666671</v>
      </c>
      <c r="AZ493" s="80">
        <f t="shared" si="151"/>
        <v>3819.4483333333333</v>
      </c>
    </row>
    <row r="494" spans="1:52">
      <c r="A494" s="194" t="s">
        <v>865</v>
      </c>
      <c r="B494" s="194" t="s">
        <v>888</v>
      </c>
      <c r="C494" s="225">
        <v>218885</v>
      </c>
      <c r="D494" s="198">
        <v>9</v>
      </c>
      <c r="E494" s="162" t="s">
        <v>442</v>
      </c>
      <c r="F494" s="163" t="s">
        <v>442</v>
      </c>
      <c r="G494" s="79"/>
      <c r="H494" s="322"/>
      <c r="I494" s="79">
        <v>50210.83</v>
      </c>
      <c r="J494" s="322">
        <v>53297.39</v>
      </c>
      <c r="K494" s="79">
        <v>19830.59</v>
      </c>
      <c r="L494" s="322">
        <v>19922.189999999999</v>
      </c>
      <c r="M494" s="79">
        <v>58192.09</v>
      </c>
      <c r="N494" s="322">
        <v>65809.89</v>
      </c>
      <c r="O494" s="323">
        <f t="shared" si="142"/>
        <v>128233.51</v>
      </c>
      <c r="P494" s="638">
        <f t="shared" si="152"/>
        <v>128233.51</v>
      </c>
      <c r="Q494" s="322">
        <v>6086</v>
      </c>
      <c r="R494" s="90">
        <f t="shared" si="156"/>
        <v>4274.4503333333332</v>
      </c>
      <c r="S494" s="324">
        <f t="shared" si="143"/>
        <v>139029.47</v>
      </c>
      <c r="T494" s="638">
        <f t="shared" si="153"/>
        <v>139029.47</v>
      </c>
      <c r="U494" s="322">
        <v>7504</v>
      </c>
      <c r="V494" s="80">
        <f t="shared" si="157"/>
        <v>4634.3156666666664</v>
      </c>
      <c r="W494" s="79"/>
      <c r="X494" s="322"/>
      <c r="Y494" s="79"/>
      <c r="Z494" s="322"/>
      <c r="AA494" s="79"/>
      <c r="AB494" s="322"/>
      <c r="AC494" s="79"/>
      <c r="AD494" s="322"/>
      <c r="AE494" s="323">
        <f t="shared" si="144"/>
        <v>0</v>
      </c>
      <c r="AF494" s="638">
        <f t="shared" si="154"/>
        <v>0</v>
      </c>
      <c r="AG494" s="322"/>
      <c r="AH494" s="90">
        <f t="shared" si="145"/>
        <v>0</v>
      </c>
      <c r="AI494" s="80">
        <f t="shared" si="146"/>
        <v>0</v>
      </c>
      <c r="AJ494" s="638">
        <f t="shared" si="155"/>
        <v>0</v>
      </c>
      <c r="AK494" s="322"/>
      <c r="AL494" s="80">
        <f t="shared" si="147"/>
        <v>0</v>
      </c>
      <c r="AM494" s="79"/>
      <c r="AN494" s="322"/>
      <c r="AO494" s="79">
        <v>0</v>
      </c>
      <c r="AP494" s="322"/>
      <c r="AQ494" s="79">
        <v>0</v>
      </c>
      <c r="AR494" s="322"/>
      <c r="AS494" s="79">
        <v>0</v>
      </c>
      <c r="AT494" s="322"/>
      <c r="AU494" s="325">
        <f t="shared" si="148"/>
        <v>0</v>
      </c>
      <c r="AV494" s="90">
        <f t="shared" si="158"/>
        <v>0</v>
      </c>
      <c r="AW494" s="324">
        <f t="shared" si="149"/>
        <v>0</v>
      </c>
      <c r="AX494" s="80">
        <f t="shared" si="159"/>
        <v>0</v>
      </c>
      <c r="AY494" s="326">
        <f t="shared" si="150"/>
        <v>4274.4503333333332</v>
      </c>
      <c r="AZ494" s="80">
        <f t="shared" si="151"/>
        <v>4634.3156666666664</v>
      </c>
    </row>
    <row r="495" spans="1:52">
      <c r="A495" s="194" t="s">
        <v>865</v>
      </c>
      <c r="B495" s="194" t="s">
        <v>889</v>
      </c>
      <c r="C495" s="225">
        <v>218991</v>
      </c>
      <c r="D495" s="196">
        <v>9</v>
      </c>
      <c r="E495" s="162" t="s">
        <v>442</v>
      </c>
      <c r="F495" s="163" t="s">
        <v>442</v>
      </c>
      <c r="G495" s="79"/>
      <c r="H495" s="322"/>
      <c r="I495" s="79">
        <v>42657.82</v>
      </c>
      <c r="J495" s="322">
        <v>46418.92</v>
      </c>
      <c r="K495" s="79">
        <v>18985.739999999998</v>
      </c>
      <c r="L495" s="322">
        <v>21602.75</v>
      </c>
      <c r="M495" s="79">
        <v>50805.33</v>
      </c>
      <c r="N495" s="322">
        <v>54637.85</v>
      </c>
      <c r="O495" s="323">
        <f t="shared" si="142"/>
        <v>112448.89</v>
      </c>
      <c r="P495" s="638">
        <f t="shared" si="152"/>
        <v>112448.89</v>
      </c>
      <c r="Q495" s="322">
        <v>3779</v>
      </c>
      <c r="R495" s="90">
        <f t="shared" si="156"/>
        <v>3748.2963333333332</v>
      </c>
      <c r="S495" s="324">
        <f t="shared" si="143"/>
        <v>122659.51999999999</v>
      </c>
      <c r="T495" s="638">
        <f t="shared" si="153"/>
        <v>122659.51999999999</v>
      </c>
      <c r="U495" s="322">
        <v>5594</v>
      </c>
      <c r="V495" s="80">
        <f t="shared" si="157"/>
        <v>4088.6506666666664</v>
      </c>
      <c r="W495" s="79"/>
      <c r="X495" s="322"/>
      <c r="Y495" s="79"/>
      <c r="Z495" s="322"/>
      <c r="AA495" s="79"/>
      <c r="AB495" s="322"/>
      <c r="AC495" s="79"/>
      <c r="AD495" s="322"/>
      <c r="AE495" s="323">
        <f t="shared" si="144"/>
        <v>0</v>
      </c>
      <c r="AF495" s="638">
        <f t="shared" si="154"/>
        <v>0</v>
      </c>
      <c r="AG495" s="322"/>
      <c r="AH495" s="90">
        <f t="shared" si="145"/>
        <v>0</v>
      </c>
      <c r="AI495" s="80">
        <f t="shared" si="146"/>
        <v>0</v>
      </c>
      <c r="AJ495" s="638">
        <f t="shared" si="155"/>
        <v>0</v>
      </c>
      <c r="AK495" s="322"/>
      <c r="AL495" s="80">
        <f t="shared" si="147"/>
        <v>0</v>
      </c>
      <c r="AM495" s="79"/>
      <c r="AN495" s="322"/>
      <c r="AO495" s="79">
        <v>0</v>
      </c>
      <c r="AP495" s="322"/>
      <c r="AQ495" s="79">
        <v>0</v>
      </c>
      <c r="AR495" s="322"/>
      <c r="AS495" s="79">
        <v>0</v>
      </c>
      <c r="AT495" s="322"/>
      <c r="AU495" s="325">
        <f t="shared" si="148"/>
        <v>0</v>
      </c>
      <c r="AV495" s="90">
        <f t="shared" si="158"/>
        <v>0</v>
      </c>
      <c r="AW495" s="324">
        <f t="shared" si="149"/>
        <v>0</v>
      </c>
      <c r="AX495" s="80">
        <f t="shared" si="159"/>
        <v>0</v>
      </c>
      <c r="AY495" s="326">
        <f t="shared" si="150"/>
        <v>3748.2963333333332</v>
      </c>
      <c r="AZ495" s="80">
        <f t="shared" si="151"/>
        <v>4088.6506666666664</v>
      </c>
    </row>
    <row r="496" spans="1:52">
      <c r="A496" s="194" t="s">
        <v>865</v>
      </c>
      <c r="B496" s="194" t="s">
        <v>890</v>
      </c>
      <c r="C496" s="225">
        <v>217989</v>
      </c>
      <c r="D496" s="196">
        <v>10</v>
      </c>
      <c r="E496" s="162" t="s">
        <v>442</v>
      </c>
      <c r="F496" s="163" t="s">
        <v>442</v>
      </c>
      <c r="G496" s="79"/>
      <c r="H496" s="322"/>
      <c r="I496" s="79">
        <v>15368.26</v>
      </c>
      <c r="J496" s="322">
        <v>15040.77</v>
      </c>
      <c r="K496" s="79">
        <v>3271.4700000000003</v>
      </c>
      <c r="L496" s="322">
        <v>3587.27</v>
      </c>
      <c r="M496" s="79">
        <v>16265.39</v>
      </c>
      <c r="N496" s="322">
        <v>19149.560000000001</v>
      </c>
      <c r="O496" s="323">
        <f t="shared" si="142"/>
        <v>34905.119999999995</v>
      </c>
      <c r="P496" s="638">
        <f t="shared" si="152"/>
        <v>34905.119999999995</v>
      </c>
      <c r="Q496" s="322">
        <v>62</v>
      </c>
      <c r="R496" s="90">
        <f t="shared" si="156"/>
        <v>1163.5039999999999</v>
      </c>
      <c r="S496" s="324">
        <f t="shared" si="143"/>
        <v>37777.600000000006</v>
      </c>
      <c r="T496" s="638">
        <f t="shared" si="153"/>
        <v>37777.600000000006</v>
      </c>
      <c r="U496" s="322">
        <v>741</v>
      </c>
      <c r="V496" s="80">
        <f t="shared" si="157"/>
        <v>1259.2533333333336</v>
      </c>
      <c r="W496" s="79"/>
      <c r="X496" s="322"/>
      <c r="Y496" s="79"/>
      <c r="Z496" s="322"/>
      <c r="AA496" s="79"/>
      <c r="AB496" s="322"/>
      <c r="AC496" s="79"/>
      <c r="AD496" s="322"/>
      <c r="AE496" s="323">
        <f t="shared" si="144"/>
        <v>0</v>
      </c>
      <c r="AF496" s="638">
        <f t="shared" si="154"/>
        <v>0</v>
      </c>
      <c r="AG496" s="322"/>
      <c r="AH496" s="90">
        <f t="shared" si="145"/>
        <v>0</v>
      </c>
      <c r="AI496" s="80">
        <f t="shared" si="146"/>
        <v>0</v>
      </c>
      <c r="AJ496" s="638">
        <f t="shared" si="155"/>
        <v>0</v>
      </c>
      <c r="AK496" s="322"/>
      <c r="AL496" s="80">
        <f t="shared" si="147"/>
        <v>0</v>
      </c>
      <c r="AM496" s="79"/>
      <c r="AN496" s="322"/>
      <c r="AO496" s="79">
        <v>0</v>
      </c>
      <c r="AP496" s="322"/>
      <c r="AQ496" s="79">
        <v>0</v>
      </c>
      <c r="AR496" s="322"/>
      <c r="AS496" s="79">
        <v>0</v>
      </c>
      <c r="AT496" s="322"/>
      <c r="AU496" s="325">
        <f t="shared" si="148"/>
        <v>0</v>
      </c>
      <c r="AV496" s="90">
        <f t="shared" si="158"/>
        <v>0</v>
      </c>
      <c r="AW496" s="324">
        <f t="shared" si="149"/>
        <v>0</v>
      </c>
      <c r="AX496" s="80">
        <f t="shared" si="159"/>
        <v>0</v>
      </c>
      <c r="AY496" s="326">
        <f t="shared" si="150"/>
        <v>1163.5039999999999</v>
      </c>
      <c r="AZ496" s="80">
        <f t="shared" si="151"/>
        <v>1259.2533333333336</v>
      </c>
    </row>
    <row r="497" spans="1:52">
      <c r="A497" s="194" t="s">
        <v>865</v>
      </c>
      <c r="B497" s="194" t="s">
        <v>891</v>
      </c>
      <c r="C497" s="225">
        <v>217837</v>
      </c>
      <c r="D497" s="196">
        <v>10</v>
      </c>
      <c r="E497" s="162" t="s">
        <v>442</v>
      </c>
      <c r="F497" s="163" t="s">
        <v>442</v>
      </c>
      <c r="G497" s="79"/>
      <c r="H497" s="322"/>
      <c r="I497" s="79">
        <v>11084.71</v>
      </c>
      <c r="J497" s="322">
        <v>9290.5400000000009</v>
      </c>
      <c r="K497" s="79">
        <v>5602.93</v>
      </c>
      <c r="L497" s="322">
        <v>5077.67</v>
      </c>
      <c r="M497" s="79">
        <v>10890.41</v>
      </c>
      <c r="N497" s="322">
        <v>11295.65</v>
      </c>
      <c r="O497" s="323">
        <f t="shared" si="142"/>
        <v>27578.05</v>
      </c>
      <c r="P497" s="638">
        <f t="shared" si="152"/>
        <v>27578.05</v>
      </c>
      <c r="Q497" s="322">
        <v>193</v>
      </c>
      <c r="R497" s="90">
        <f t="shared" si="156"/>
        <v>919.26833333333332</v>
      </c>
      <c r="S497" s="324">
        <f t="shared" si="143"/>
        <v>25663.86</v>
      </c>
      <c r="T497" s="638">
        <f t="shared" si="153"/>
        <v>25663.86</v>
      </c>
      <c r="U497" s="322">
        <v>557</v>
      </c>
      <c r="V497" s="80">
        <f t="shared" si="157"/>
        <v>855.46199999999999</v>
      </c>
      <c r="W497" s="79"/>
      <c r="X497" s="322"/>
      <c r="Y497" s="79"/>
      <c r="Z497" s="322"/>
      <c r="AA497" s="79"/>
      <c r="AB497" s="322"/>
      <c r="AC497" s="79"/>
      <c r="AD497" s="322"/>
      <c r="AE497" s="323">
        <f t="shared" si="144"/>
        <v>0</v>
      </c>
      <c r="AF497" s="638">
        <f t="shared" si="154"/>
        <v>0</v>
      </c>
      <c r="AG497" s="322"/>
      <c r="AH497" s="90">
        <f t="shared" si="145"/>
        <v>0</v>
      </c>
      <c r="AI497" s="80">
        <f t="shared" si="146"/>
        <v>0</v>
      </c>
      <c r="AJ497" s="638">
        <f t="shared" si="155"/>
        <v>0</v>
      </c>
      <c r="AK497" s="322"/>
      <c r="AL497" s="80">
        <f t="shared" si="147"/>
        <v>0</v>
      </c>
      <c r="AM497" s="79"/>
      <c r="AN497" s="322"/>
      <c r="AO497" s="79">
        <v>0</v>
      </c>
      <c r="AP497" s="322"/>
      <c r="AQ497" s="79">
        <v>0</v>
      </c>
      <c r="AR497" s="322"/>
      <c r="AS497" s="79">
        <v>0</v>
      </c>
      <c r="AT497" s="322"/>
      <c r="AU497" s="325">
        <f t="shared" si="148"/>
        <v>0</v>
      </c>
      <c r="AV497" s="90">
        <f t="shared" si="158"/>
        <v>0</v>
      </c>
      <c r="AW497" s="324">
        <f t="shared" si="149"/>
        <v>0</v>
      </c>
      <c r="AX497" s="80">
        <f t="shared" si="159"/>
        <v>0</v>
      </c>
      <c r="AY497" s="326">
        <f t="shared" si="150"/>
        <v>919.26833333333332</v>
      </c>
      <c r="AZ497" s="80">
        <f t="shared" si="151"/>
        <v>855.46199999999999</v>
      </c>
    </row>
    <row r="498" spans="1:52">
      <c r="A498" s="194" t="s">
        <v>865</v>
      </c>
      <c r="B498" s="194" t="s">
        <v>892</v>
      </c>
      <c r="C498" s="225">
        <v>217712</v>
      </c>
      <c r="D498" s="196">
        <v>10</v>
      </c>
      <c r="E498" s="162" t="s">
        <v>442</v>
      </c>
      <c r="F498" s="163" t="s">
        <v>442</v>
      </c>
      <c r="G498" s="79"/>
      <c r="H498" s="322"/>
      <c r="I498" s="79">
        <v>17011.510000000002</v>
      </c>
      <c r="J498" s="322">
        <v>17323.27</v>
      </c>
      <c r="K498" s="79">
        <v>7623.93</v>
      </c>
      <c r="L498" s="322">
        <v>7570.6</v>
      </c>
      <c r="M498" s="79">
        <v>19059.37</v>
      </c>
      <c r="N498" s="322">
        <v>20877.580000000002</v>
      </c>
      <c r="O498" s="323">
        <f t="shared" si="142"/>
        <v>43694.81</v>
      </c>
      <c r="P498" s="638">
        <f t="shared" si="152"/>
        <v>43694.81</v>
      </c>
      <c r="Q498" s="322">
        <v>2145</v>
      </c>
      <c r="R498" s="90">
        <f t="shared" si="156"/>
        <v>1456.4936666666665</v>
      </c>
      <c r="S498" s="324">
        <f t="shared" si="143"/>
        <v>45771.450000000004</v>
      </c>
      <c r="T498" s="638">
        <f t="shared" si="153"/>
        <v>45771.450000000004</v>
      </c>
      <c r="U498" s="322">
        <v>2767</v>
      </c>
      <c r="V498" s="80">
        <f t="shared" si="157"/>
        <v>1525.7150000000001</v>
      </c>
      <c r="W498" s="79"/>
      <c r="X498" s="322"/>
      <c r="Y498" s="79"/>
      <c r="Z498" s="322"/>
      <c r="AA498" s="79"/>
      <c r="AB498" s="322"/>
      <c r="AC498" s="79"/>
      <c r="AD498" s="322"/>
      <c r="AE498" s="323">
        <f t="shared" si="144"/>
        <v>0</v>
      </c>
      <c r="AF498" s="638">
        <f t="shared" si="154"/>
        <v>0</v>
      </c>
      <c r="AG498" s="322"/>
      <c r="AH498" s="90">
        <f t="shared" si="145"/>
        <v>0</v>
      </c>
      <c r="AI498" s="80">
        <f t="shared" si="146"/>
        <v>0</v>
      </c>
      <c r="AJ498" s="638">
        <f t="shared" si="155"/>
        <v>0</v>
      </c>
      <c r="AK498" s="322"/>
      <c r="AL498" s="80">
        <f t="shared" si="147"/>
        <v>0</v>
      </c>
      <c r="AM498" s="79"/>
      <c r="AN498" s="322"/>
      <c r="AO498" s="79">
        <v>0</v>
      </c>
      <c r="AP498" s="322"/>
      <c r="AQ498" s="79">
        <v>0</v>
      </c>
      <c r="AR498" s="322"/>
      <c r="AS498" s="79">
        <v>0</v>
      </c>
      <c r="AT498" s="322"/>
      <c r="AU498" s="325">
        <f t="shared" si="148"/>
        <v>0</v>
      </c>
      <c r="AV498" s="90">
        <f t="shared" si="158"/>
        <v>0</v>
      </c>
      <c r="AW498" s="324">
        <f t="shared" si="149"/>
        <v>0</v>
      </c>
      <c r="AX498" s="80">
        <f t="shared" si="159"/>
        <v>0</v>
      </c>
      <c r="AY498" s="326">
        <f t="shared" si="150"/>
        <v>1456.4936666666665</v>
      </c>
      <c r="AZ498" s="80">
        <f t="shared" si="151"/>
        <v>1525.7150000000001</v>
      </c>
    </row>
    <row r="499" spans="1:52">
      <c r="A499" s="194" t="s">
        <v>865</v>
      </c>
      <c r="B499" s="194" t="s">
        <v>893</v>
      </c>
      <c r="C499" s="225">
        <v>218672</v>
      </c>
      <c r="D499" s="196">
        <v>10</v>
      </c>
      <c r="E499" s="162" t="s">
        <v>442</v>
      </c>
      <c r="F499" s="163" t="s">
        <v>442</v>
      </c>
      <c r="G499" s="79"/>
      <c r="H499" s="322"/>
      <c r="I499" s="79">
        <v>11785</v>
      </c>
      <c r="J499" s="322">
        <v>12818</v>
      </c>
      <c r="K499" s="79">
        <v>1804</v>
      </c>
      <c r="L499" s="322">
        <v>1749</v>
      </c>
      <c r="M499" s="79">
        <v>14939</v>
      </c>
      <c r="N499" s="322">
        <v>16184</v>
      </c>
      <c r="O499" s="323">
        <f t="shared" si="142"/>
        <v>28528</v>
      </c>
      <c r="P499" s="638">
        <f t="shared" si="152"/>
        <v>28528</v>
      </c>
      <c r="Q499" s="322">
        <v>2217</v>
      </c>
      <c r="R499" s="90">
        <f t="shared" si="156"/>
        <v>950.93333333333328</v>
      </c>
      <c r="S499" s="324">
        <f t="shared" si="143"/>
        <v>30751</v>
      </c>
      <c r="T499" s="638">
        <f t="shared" si="153"/>
        <v>30751</v>
      </c>
      <c r="U499" s="322">
        <v>2642</v>
      </c>
      <c r="V499" s="80">
        <f t="shared" si="157"/>
        <v>1025.0333333333333</v>
      </c>
      <c r="W499" s="79"/>
      <c r="X499" s="322"/>
      <c r="Y499" s="79"/>
      <c r="Z499" s="322"/>
      <c r="AA499" s="79"/>
      <c r="AB499" s="322"/>
      <c r="AC499" s="79"/>
      <c r="AD499" s="322"/>
      <c r="AE499" s="323">
        <f t="shared" si="144"/>
        <v>0</v>
      </c>
      <c r="AF499" s="638">
        <f t="shared" si="154"/>
        <v>0</v>
      </c>
      <c r="AG499" s="322"/>
      <c r="AH499" s="90">
        <f t="shared" si="145"/>
        <v>0</v>
      </c>
      <c r="AI499" s="80">
        <f t="shared" si="146"/>
        <v>0</v>
      </c>
      <c r="AJ499" s="638">
        <f t="shared" si="155"/>
        <v>0</v>
      </c>
      <c r="AK499" s="322"/>
      <c r="AL499" s="80">
        <f t="shared" si="147"/>
        <v>0</v>
      </c>
      <c r="AM499" s="79"/>
      <c r="AN499" s="322"/>
      <c r="AO499" s="79">
        <v>0</v>
      </c>
      <c r="AP499" s="322"/>
      <c r="AQ499" s="79">
        <v>0</v>
      </c>
      <c r="AR499" s="322"/>
      <c r="AS499" s="79">
        <v>0</v>
      </c>
      <c r="AT499" s="322"/>
      <c r="AU499" s="325">
        <f t="shared" si="148"/>
        <v>0</v>
      </c>
      <c r="AV499" s="90">
        <f t="shared" si="158"/>
        <v>0</v>
      </c>
      <c r="AW499" s="324">
        <f t="shared" si="149"/>
        <v>0</v>
      </c>
      <c r="AX499" s="80">
        <f t="shared" si="159"/>
        <v>0</v>
      </c>
      <c r="AY499" s="326">
        <f t="shared" si="150"/>
        <v>950.93333333333328</v>
      </c>
      <c r="AZ499" s="80">
        <f t="shared" si="151"/>
        <v>1025.0333333333333</v>
      </c>
    </row>
    <row r="500" spans="1:52">
      <c r="A500" s="194" t="s">
        <v>865</v>
      </c>
      <c r="B500" s="194" t="s">
        <v>894</v>
      </c>
      <c r="C500" s="225">
        <v>218681</v>
      </c>
      <c r="D500" s="196">
        <v>10</v>
      </c>
      <c r="E500" s="162" t="s">
        <v>442</v>
      </c>
      <c r="F500" s="163" t="s">
        <v>442</v>
      </c>
      <c r="G500" s="79"/>
      <c r="H500" s="322"/>
      <c r="I500" s="79">
        <v>6790</v>
      </c>
      <c r="J500" s="322">
        <v>7979</v>
      </c>
      <c r="K500" s="79">
        <v>820</v>
      </c>
      <c r="L500" s="322">
        <v>944</v>
      </c>
      <c r="M500" s="79">
        <v>8960</v>
      </c>
      <c r="N500" s="322">
        <v>9332</v>
      </c>
      <c r="O500" s="323">
        <f t="shared" si="142"/>
        <v>16570</v>
      </c>
      <c r="P500" s="638">
        <f t="shared" si="152"/>
        <v>16570</v>
      </c>
      <c r="Q500" s="322">
        <v>1221</v>
      </c>
      <c r="R500" s="90">
        <f t="shared" si="156"/>
        <v>552.33333333333337</v>
      </c>
      <c r="S500" s="324">
        <f t="shared" si="143"/>
        <v>18255</v>
      </c>
      <c r="T500" s="638">
        <f t="shared" si="153"/>
        <v>18255</v>
      </c>
      <c r="U500" s="322">
        <v>1230</v>
      </c>
      <c r="V500" s="80">
        <f t="shared" si="157"/>
        <v>608.5</v>
      </c>
      <c r="W500" s="79"/>
      <c r="X500" s="322"/>
      <c r="Y500" s="79"/>
      <c r="Z500" s="322"/>
      <c r="AA500" s="79"/>
      <c r="AB500" s="322"/>
      <c r="AC500" s="79"/>
      <c r="AD500" s="322"/>
      <c r="AE500" s="323">
        <f t="shared" si="144"/>
        <v>0</v>
      </c>
      <c r="AF500" s="638">
        <f t="shared" si="154"/>
        <v>0</v>
      </c>
      <c r="AG500" s="322"/>
      <c r="AH500" s="90">
        <f t="shared" si="145"/>
        <v>0</v>
      </c>
      <c r="AI500" s="80">
        <f t="shared" si="146"/>
        <v>0</v>
      </c>
      <c r="AJ500" s="638">
        <f t="shared" si="155"/>
        <v>0</v>
      </c>
      <c r="AK500" s="322"/>
      <c r="AL500" s="80">
        <f t="shared" si="147"/>
        <v>0</v>
      </c>
      <c r="AM500" s="79"/>
      <c r="AN500" s="322"/>
      <c r="AO500" s="79">
        <v>0</v>
      </c>
      <c r="AP500" s="322"/>
      <c r="AQ500" s="79">
        <v>0</v>
      </c>
      <c r="AR500" s="322"/>
      <c r="AS500" s="79">
        <v>0</v>
      </c>
      <c r="AT500" s="322"/>
      <c r="AU500" s="325">
        <f t="shared" si="148"/>
        <v>0</v>
      </c>
      <c r="AV500" s="90">
        <f t="shared" si="158"/>
        <v>0</v>
      </c>
      <c r="AW500" s="324">
        <f t="shared" si="149"/>
        <v>0</v>
      </c>
      <c r="AX500" s="80">
        <f t="shared" si="159"/>
        <v>0</v>
      </c>
      <c r="AY500" s="326">
        <f t="shared" si="150"/>
        <v>552.33333333333337</v>
      </c>
      <c r="AZ500" s="80">
        <f t="shared" si="151"/>
        <v>608.5</v>
      </c>
    </row>
    <row r="501" spans="1:52">
      <c r="A501" s="194" t="s">
        <v>865</v>
      </c>
      <c r="B501" s="194" t="s">
        <v>106</v>
      </c>
      <c r="C501" s="225">
        <v>218690</v>
      </c>
      <c r="D501" s="196">
        <v>10</v>
      </c>
      <c r="E501" s="162" t="s">
        <v>442</v>
      </c>
      <c r="F501" s="163" t="s">
        <v>442</v>
      </c>
      <c r="G501" s="79"/>
      <c r="H501" s="322"/>
      <c r="I501" s="79">
        <v>10269</v>
      </c>
      <c r="J501" s="322">
        <v>11492</v>
      </c>
      <c r="K501" s="79">
        <v>1562</v>
      </c>
      <c r="L501" s="322">
        <v>1591</v>
      </c>
      <c r="M501" s="79">
        <v>12852</v>
      </c>
      <c r="N501" s="322">
        <v>13020</v>
      </c>
      <c r="O501" s="323">
        <f t="shared" si="142"/>
        <v>24683</v>
      </c>
      <c r="P501" s="638">
        <f t="shared" si="152"/>
        <v>24683</v>
      </c>
      <c r="Q501" s="322">
        <v>1643</v>
      </c>
      <c r="R501" s="90">
        <f t="shared" si="156"/>
        <v>822.76666666666665</v>
      </c>
      <c r="S501" s="324">
        <f t="shared" si="143"/>
        <v>26103</v>
      </c>
      <c r="T501" s="638">
        <f t="shared" si="153"/>
        <v>26103</v>
      </c>
      <c r="U501" s="322">
        <v>2203</v>
      </c>
      <c r="V501" s="80">
        <f t="shared" si="157"/>
        <v>870.1</v>
      </c>
      <c r="W501" s="79"/>
      <c r="X501" s="322"/>
      <c r="Y501" s="79"/>
      <c r="Z501" s="322"/>
      <c r="AA501" s="79"/>
      <c r="AB501" s="322"/>
      <c r="AC501" s="79"/>
      <c r="AD501" s="322"/>
      <c r="AE501" s="323">
        <f t="shared" si="144"/>
        <v>0</v>
      </c>
      <c r="AF501" s="638">
        <f t="shared" si="154"/>
        <v>0</v>
      </c>
      <c r="AG501" s="322"/>
      <c r="AH501" s="90">
        <f t="shared" si="145"/>
        <v>0</v>
      </c>
      <c r="AI501" s="80">
        <f t="shared" si="146"/>
        <v>0</v>
      </c>
      <c r="AJ501" s="638">
        <f t="shared" si="155"/>
        <v>0</v>
      </c>
      <c r="AK501" s="322"/>
      <c r="AL501" s="80">
        <f t="shared" si="147"/>
        <v>0</v>
      </c>
      <c r="AM501" s="79"/>
      <c r="AN501" s="322"/>
      <c r="AO501" s="79">
        <v>0</v>
      </c>
      <c r="AP501" s="322"/>
      <c r="AQ501" s="79">
        <v>0</v>
      </c>
      <c r="AR501" s="322"/>
      <c r="AS501" s="79">
        <v>0</v>
      </c>
      <c r="AT501" s="322"/>
      <c r="AU501" s="325">
        <f t="shared" si="148"/>
        <v>0</v>
      </c>
      <c r="AV501" s="90">
        <f t="shared" si="158"/>
        <v>0</v>
      </c>
      <c r="AW501" s="324">
        <f t="shared" si="149"/>
        <v>0</v>
      </c>
      <c r="AX501" s="80">
        <f t="shared" si="159"/>
        <v>0</v>
      </c>
      <c r="AY501" s="326">
        <f t="shared" si="150"/>
        <v>822.76666666666665</v>
      </c>
      <c r="AZ501" s="80">
        <f t="shared" si="151"/>
        <v>870.1</v>
      </c>
    </row>
    <row r="502" spans="1:52">
      <c r="A502" s="194" t="s">
        <v>865</v>
      </c>
      <c r="B502" s="194" t="s">
        <v>107</v>
      </c>
      <c r="C502" s="225">
        <v>218706</v>
      </c>
      <c r="D502" s="196">
        <v>10</v>
      </c>
      <c r="E502" s="162" t="s">
        <v>442</v>
      </c>
      <c r="F502" s="163" t="s">
        <v>442</v>
      </c>
      <c r="G502" s="79"/>
      <c r="H502" s="322"/>
      <c r="I502" s="79">
        <v>3726</v>
      </c>
      <c r="J502" s="322">
        <v>3832</v>
      </c>
      <c r="K502" s="79">
        <v>526</v>
      </c>
      <c r="L502" s="322">
        <v>482</v>
      </c>
      <c r="M502" s="79">
        <v>3977</v>
      </c>
      <c r="N502" s="322">
        <v>3723</v>
      </c>
      <c r="O502" s="323">
        <f t="shared" si="142"/>
        <v>8229</v>
      </c>
      <c r="P502" s="638">
        <f t="shared" si="152"/>
        <v>8229</v>
      </c>
      <c r="Q502" s="322">
        <v>1985</v>
      </c>
      <c r="R502" s="90">
        <f t="shared" si="156"/>
        <v>274.3</v>
      </c>
      <c r="S502" s="324">
        <f t="shared" si="143"/>
        <v>8037</v>
      </c>
      <c r="T502" s="638">
        <f t="shared" si="153"/>
        <v>8037</v>
      </c>
      <c r="U502" s="322">
        <v>1922</v>
      </c>
      <c r="V502" s="80">
        <f t="shared" si="157"/>
        <v>267.89999999999998</v>
      </c>
      <c r="W502" s="79"/>
      <c r="X502" s="322"/>
      <c r="Y502" s="79"/>
      <c r="Z502" s="322"/>
      <c r="AA502" s="79"/>
      <c r="AB502" s="322"/>
      <c r="AC502" s="79"/>
      <c r="AD502" s="322"/>
      <c r="AE502" s="323">
        <f t="shared" si="144"/>
        <v>0</v>
      </c>
      <c r="AF502" s="638">
        <f t="shared" si="154"/>
        <v>0</v>
      </c>
      <c r="AG502" s="322"/>
      <c r="AH502" s="90">
        <f t="shared" si="145"/>
        <v>0</v>
      </c>
      <c r="AI502" s="80">
        <f t="shared" si="146"/>
        <v>0</v>
      </c>
      <c r="AJ502" s="638">
        <f t="shared" si="155"/>
        <v>0</v>
      </c>
      <c r="AK502" s="322"/>
      <c r="AL502" s="80">
        <f t="shared" si="147"/>
        <v>0</v>
      </c>
      <c r="AM502" s="79"/>
      <c r="AN502" s="322"/>
      <c r="AO502" s="79">
        <v>0</v>
      </c>
      <c r="AP502" s="322"/>
      <c r="AQ502" s="79">
        <v>0</v>
      </c>
      <c r="AR502" s="322"/>
      <c r="AS502" s="79">
        <v>0</v>
      </c>
      <c r="AT502" s="322"/>
      <c r="AU502" s="325">
        <f t="shared" si="148"/>
        <v>0</v>
      </c>
      <c r="AV502" s="90">
        <f t="shared" si="158"/>
        <v>0</v>
      </c>
      <c r="AW502" s="324">
        <f t="shared" si="149"/>
        <v>0</v>
      </c>
      <c r="AX502" s="80">
        <f t="shared" si="159"/>
        <v>0</v>
      </c>
      <c r="AY502" s="326">
        <f t="shared" si="150"/>
        <v>274.3</v>
      </c>
      <c r="AZ502" s="80">
        <f t="shared" si="151"/>
        <v>267.89999999999998</v>
      </c>
    </row>
    <row r="503" spans="1:52">
      <c r="A503" s="194" t="s">
        <v>865</v>
      </c>
      <c r="B503" s="194" t="s">
        <v>108</v>
      </c>
      <c r="C503" s="225">
        <v>218955</v>
      </c>
      <c r="D503" s="196">
        <v>10</v>
      </c>
      <c r="E503" s="162" t="s">
        <v>442</v>
      </c>
      <c r="F503" s="163" t="s">
        <v>442</v>
      </c>
      <c r="G503" s="79"/>
      <c r="H503" s="322"/>
      <c r="I503" s="79">
        <v>5969.87</v>
      </c>
      <c r="J503" s="322">
        <v>5228.26</v>
      </c>
      <c r="K503" s="79">
        <v>3504.8500000000004</v>
      </c>
      <c r="L503" s="322">
        <v>3205.54</v>
      </c>
      <c r="M503" s="79">
        <v>5643.23</v>
      </c>
      <c r="N503" s="322">
        <v>6429.28</v>
      </c>
      <c r="O503" s="323">
        <f t="shared" si="142"/>
        <v>15117.95</v>
      </c>
      <c r="P503" s="638">
        <f t="shared" si="152"/>
        <v>15117.95</v>
      </c>
      <c r="Q503" s="322">
        <v>781</v>
      </c>
      <c r="R503" s="90">
        <f t="shared" si="156"/>
        <v>503.93166666666667</v>
      </c>
      <c r="S503" s="324">
        <f t="shared" si="143"/>
        <v>14863.079999999998</v>
      </c>
      <c r="T503" s="638">
        <f t="shared" si="153"/>
        <v>14863.079999999998</v>
      </c>
      <c r="U503" s="322">
        <v>809</v>
      </c>
      <c r="V503" s="80">
        <f t="shared" si="157"/>
        <v>495.43599999999992</v>
      </c>
      <c r="W503" s="79"/>
      <c r="X503" s="322"/>
      <c r="Y503" s="79"/>
      <c r="Z503" s="322"/>
      <c r="AA503" s="79"/>
      <c r="AB503" s="322"/>
      <c r="AC503" s="79"/>
      <c r="AD503" s="322"/>
      <c r="AE503" s="323">
        <f t="shared" si="144"/>
        <v>0</v>
      </c>
      <c r="AF503" s="638">
        <f t="shared" si="154"/>
        <v>0</v>
      </c>
      <c r="AG503" s="322"/>
      <c r="AH503" s="90">
        <f t="shared" si="145"/>
        <v>0</v>
      </c>
      <c r="AI503" s="80">
        <f t="shared" si="146"/>
        <v>0</v>
      </c>
      <c r="AJ503" s="638">
        <f t="shared" si="155"/>
        <v>0</v>
      </c>
      <c r="AK503" s="322"/>
      <c r="AL503" s="80">
        <f t="shared" si="147"/>
        <v>0</v>
      </c>
      <c r="AM503" s="79"/>
      <c r="AN503" s="322"/>
      <c r="AO503" s="79">
        <v>0</v>
      </c>
      <c r="AP503" s="322"/>
      <c r="AQ503" s="79">
        <v>0</v>
      </c>
      <c r="AR503" s="322"/>
      <c r="AS503" s="79">
        <v>0</v>
      </c>
      <c r="AT503" s="322"/>
      <c r="AU503" s="325">
        <f t="shared" si="148"/>
        <v>0</v>
      </c>
      <c r="AV503" s="90">
        <f t="shared" si="158"/>
        <v>0</v>
      </c>
      <c r="AW503" s="324">
        <f t="shared" si="149"/>
        <v>0</v>
      </c>
      <c r="AX503" s="80">
        <f t="shared" si="159"/>
        <v>0</v>
      </c>
      <c r="AY503" s="326">
        <f t="shared" si="150"/>
        <v>503.93166666666667</v>
      </c>
      <c r="AZ503" s="80">
        <f t="shared" si="151"/>
        <v>495.43599999999992</v>
      </c>
    </row>
    <row r="504" spans="1:52">
      <c r="A504" s="206" t="s">
        <v>254</v>
      </c>
      <c r="B504" s="212" t="s">
        <v>255</v>
      </c>
      <c r="C504" s="233">
        <v>221759</v>
      </c>
      <c r="D504" s="209">
        <v>1</v>
      </c>
      <c r="E504" s="162" t="s">
        <v>442</v>
      </c>
      <c r="F504" s="163" t="s">
        <v>442</v>
      </c>
      <c r="G504" s="79"/>
      <c r="H504" s="322"/>
      <c r="I504" s="79">
        <v>267410</v>
      </c>
      <c r="J504" s="322">
        <f>276891+2748+6</f>
        <v>279645</v>
      </c>
      <c r="K504" s="79">
        <v>34605</v>
      </c>
      <c r="L504" s="322">
        <v>35190</v>
      </c>
      <c r="M504" s="79">
        <v>295303</v>
      </c>
      <c r="N504" s="322">
        <f>301815+4416+4</f>
        <v>306235</v>
      </c>
      <c r="O504" s="323">
        <f t="shared" si="142"/>
        <v>597318</v>
      </c>
      <c r="P504" s="638">
        <f t="shared" si="152"/>
        <v>597318</v>
      </c>
      <c r="Q504" s="322">
        <v>851</v>
      </c>
      <c r="R504" s="90">
        <f t="shared" si="156"/>
        <v>19910.599999999999</v>
      </c>
      <c r="S504" s="324">
        <f t="shared" si="143"/>
        <v>621070</v>
      </c>
      <c r="T504" s="638">
        <f t="shared" si="153"/>
        <v>621070</v>
      </c>
      <c r="U504" s="322">
        <v>837</v>
      </c>
      <c r="V504" s="80">
        <f t="shared" si="157"/>
        <v>20702.333333333332</v>
      </c>
      <c r="W504" s="79"/>
      <c r="X504" s="322"/>
      <c r="Y504" s="79"/>
      <c r="Z504" s="322"/>
      <c r="AA504" s="79"/>
      <c r="AB504" s="322"/>
      <c r="AC504" s="79"/>
      <c r="AD504" s="322"/>
      <c r="AE504" s="323">
        <f t="shared" si="144"/>
        <v>0</v>
      </c>
      <c r="AF504" s="638">
        <f t="shared" si="154"/>
        <v>0</v>
      </c>
      <c r="AG504" s="322"/>
      <c r="AH504" s="90">
        <f t="shared" si="145"/>
        <v>0</v>
      </c>
      <c r="AI504" s="80">
        <f t="shared" si="146"/>
        <v>0</v>
      </c>
      <c r="AJ504" s="638">
        <f t="shared" si="155"/>
        <v>0</v>
      </c>
      <c r="AK504" s="322"/>
      <c r="AL504" s="80">
        <f t="shared" si="147"/>
        <v>0</v>
      </c>
      <c r="AM504" s="79"/>
      <c r="AN504" s="322"/>
      <c r="AO504" s="79">
        <v>50996</v>
      </c>
      <c r="AP504" s="322">
        <v>49425</v>
      </c>
      <c r="AQ504" s="79">
        <v>18335</v>
      </c>
      <c r="AR504" s="322">
        <v>18019</v>
      </c>
      <c r="AS504" s="79">
        <v>53672</v>
      </c>
      <c r="AT504" s="322">
        <v>54913</v>
      </c>
      <c r="AU504" s="325">
        <f t="shared" si="148"/>
        <v>123003</v>
      </c>
      <c r="AV504" s="90">
        <f t="shared" si="158"/>
        <v>5125.125</v>
      </c>
      <c r="AW504" s="324">
        <f t="shared" si="149"/>
        <v>122357</v>
      </c>
      <c r="AX504" s="80">
        <f t="shared" si="159"/>
        <v>5098.208333333333</v>
      </c>
      <c r="AY504" s="326">
        <f t="shared" si="150"/>
        <v>25035.724999999999</v>
      </c>
      <c r="AZ504" s="80">
        <f t="shared" si="151"/>
        <v>25800.541666666664</v>
      </c>
    </row>
    <row r="505" spans="1:52">
      <c r="A505" s="206" t="s">
        <v>254</v>
      </c>
      <c r="B505" s="399" t="s">
        <v>256</v>
      </c>
      <c r="C505" s="233">
        <v>220862</v>
      </c>
      <c r="D505" s="209">
        <v>2</v>
      </c>
      <c r="E505" s="162" t="s">
        <v>442</v>
      </c>
      <c r="F505" s="163" t="s">
        <v>442</v>
      </c>
      <c r="G505" s="79"/>
      <c r="H505" s="322"/>
      <c r="I505" s="79">
        <v>177465</v>
      </c>
      <c r="J505" s="322">
        <v>176816</v>
      </c>
      <c r="K505" s="79">
        <v>34919</v>
      </c>
      <c r="L505" s="322">
        <v>29438</v>
      </c>
      <c r="M505" s="79">
        <v>192027</v>
      </c>
      <c r="N505" s="322">
        <v>194725</v>
      </c>
      <c r="O505" s="323">
        <f t="shared" si="142"/>
        <v>404411</v>
      </c>
      <c r="P505" s="638">
        <f t="shared" si="152"/>
        <v>404411</v>
      </c>
      <c r="Q505" s="322">
        <v>1576</v>
      </c>
      <c r="R505" s="90">
        <f t="shared" si="156"/>
        <v>13480.366666666667</v>
      </c>
      <c r="S505" s="324">
        <f t="shared" si="143"/>
        <v>400979</v>
      </c>
      <c r="T505" s="638">
        <f t="shared" si="153"/>
        <v>400979</v>
      </c>
      <c r="U505" s="322">
        <v>2163</v>
      </c>
      <c r="V505" s="80">
        <f t="shared" si="157"/>
        <v>13365.966666666667</v>
      </c>
      <c r="W505" s="79"/>
      <c r="X505" s="322"/>
      <c r="Y505" s="79"/>
      <c r="Z505" s="322"/>
      <c r="AA505" s="79"/>
      <c r="AB505" s="322"/>
      <c r="AC505" s="79"/>
      <c r="AD505" s="322"/>
      <c r="AE505" s="323">
        <f t="shared" si="144"/>
        <v>0</v>
      </c>
      <c r="AF505" s="638">
        <f t="shared" si="154"/>
        <v>0</v>
      </c>
      <c r="AG505" s="322"/>
      <c r="AH505" s="90">
        <f t="shared" si="145"/>
        <v>0</v>
      </c>
      <c r="AI505" s="80">
        <f t="shared" si="146"/>
        <v>0</v>
      </c>
      <c r="AJ505" s="638">
        <f t="shared" si="155"/>
        <v>0</v>
      </c>
      <c r="AK505" s="322"/>
      <c r="AL505" s="80">
        <f t="shared" si="147"/>
        <v>0</v>
      </c>
      <c r="AM505" s="79"/>
      <c r="AN505" s="322"/>
      <c r="AO505" s="79">
        <v>30411</v>
      </c>
      <c r="AP505" s="322">
        <v>34759</v>
      </c>
      <c r="AQ505" s="79">
        <v>7068</v>
      </c>
      <c r="AR505" s="322">
        <v>6635</v>
      </c>
      <c r="AS505" s="79">
        <v>35602</v>
      </c>
      <c r="AT505" s="322">
        <v>35138</v>
      </c>
      <c r="AU505" s="325">
        <f t="shared" si="148"/>
        <v>73081</v>
      </c>
      <c r="AV505" s="90">
        <f t="shared" si="158"/>
        <v>3045.0416666666665</v>
      </c>
      <c r="AW505" s="324">
        <f t="shared" si="149"/>
        <v>76532</v>
      </c>
      <c r="AX505" s="80">
        <f t="shared" si="159"/>
        <v>3188.8333333333335</v>
      </c>
      <c r="AY505" s="326">
        <f t="shared" si="150"/>
        <v>16525.408333333333</v>
      </c>
      <c r="AZ505" s="80">
        <f t="shared" si="151"/>
        <v>16554.8</v>
      </c>
    </row>
    <row r="506" spans="1:52">
      <c r="A506" s="206" t="s">
        <v>254</v>
      </c>
      <c r="B506" s="212" t="s">
        <v>257</v>
      </c>
      <c r="C506" s="233">
        <v>220075</v>
      </c>
      <c r="D506" s="209">
        <v>3</v>
      </c>
      <c r="E506" s="162" t="s">
        <v>442</v>
      </c>
      <c r="F506" s="163" t="s">
        <v>442</v>
      </c>
      <c r="G506" s="79"/>
      <c r="H506" s="322"/>
      <c r="I506" s="79">
        <v>122747</v>
      </c>
      <c r="J506" s="322">
        <v>128373</v>
      </c>
      <c r="K506" s="79">
        <v>23286</v>
      </c>
      <c r="L506" s="322">
        <v>22086</v>
      </c>
      <c r="M506" s="79">
        <v>140678</v>
      </c>
      <c r="N506" s="322">
        <v>144891</v>
      </c>
      <c r="O506" s="323">
        <f t="shared" si="142"/>
        <v>286711</v>
      </c>
      <c r="P506" s="638">
        <f t="shared" si="152"/>
        <v>286711</v>
      </c>
      <c r="Q506" s="322">
        <v>569</v>
      </c>
      <c r="R506" s="90">
        <f t="shared" si="156"/>
        <v>9557.0333333333328</v>
      </c>
      <c r="S506" s="324">
        <f t="shared" si="143"/>
        <v>295350</v>
      </c>
      <c r="T506" s="638">
        <f t="shared" si="153"/>
        <v>295350</v>
      </c>
      <c r="U506" s="322">
        <v>1280</v>
      </c>
      <c r="V506" s="80">
        <f t="shared" si="157"/>
        <v>9845</v>
      </c>
      <c r="W506" s="79"/>
      <c r="X506" s="322"/>
      <c r="Y506" s="79"/>
      <c r="Z506" s="322"/>
      <c r="AA506" s="79"/>
      <c r="AB506" s="322"/>
      <c r="AC506" s="79"/>
      <c r="AD506" s="322"/>
      <c r="AE506" s="323">
        <f t="shared" si="144"/>
        <v>0</v>
      </c>
      <c r="AF506" s="638">
        <f t="shared" si="154"/>
        <v>0</v>
      </c>
      <c r="AG506" s="322"/>
      <c r="AH506" s="90">
        <f t="shared" si="145"/>
        <v>0</v>
      </c>
      <c r="AI506" s="80">
        <f t="shared" si="146"/>
        <v>0</v>
      </c>
      <c r="AJ506" s="638">
        <f t="shared" si="155"/>
        <v>0</v>
      </c>
      <c r="AK506" s="322"/>
      <c r="AL506" s="80">
        <f t="shared" si="147"/>
        <v>0</v>
      </c>
      <c r="AM506" s="79"/>
      <c r="AN506" s="322"/>
      <c r="AO506" s="79">
        <v>14266</v>
      </c>
      <c r="AP506" s="322">
        <v>16054</v>
      </c>
      <c r="AQ506" s="79">
        <v>6082</v>
      </c>
      <c r="AR506" s="322">
        <v>6515</v>
      </c>
      <c r="AS506" s="79">
        <v>16699</v>
      </c>
      <c r="AT506" s="322">
        <v>17495</v>
      </c>
      <c r="AU506" s="325">
        <f t="shared" si="148"/>
        <v>37047</v>
      </c>
      <c r="AV506" s="90">
        <f t="shared" si="158"/>
        <v>1543.625</v>
      </c>
      <c r="AW506" s="324">
        <f t="shared" si="149"/>
        <v>40064</v>
      </c>
      <c r="AX506" s="80">
        <f t="shared" si="159"/>
        <v>1669.3333333333333</v>
      </c>
      <c r="AY506" s="326">
        <f t="shared" si="150"/>
        <v>11100.658333333333</v>
      </c>
      <c r="AZ506" s="80">
        <f t="shared" si="151"/>
        <v>11514.333333333334</v>
      </c>
    </row>
    <row r="507" spans="1:52">
      <c r="A507" s="206" t="s">
        <v>254</v>
      </c>
      <c r="B507" s="212" t="s">
        <v>258</v>
      </c>
      <c r="C507" s="233">
        <v>220978</v>
      </c>
      <c r="D507" s="209">
        <v>3</v>
      </c>
      <c r="E507" s="162" t="s">
        <v>442</v>
      </c>
      <c r="F507" s="163" t="s">
        <v>442</v>
      </c>
      <c r="G507" s="79"/>
      <c r="H507" s="322"/>
      <c r="I507" s="79">
        <v>247045</v>
      </c>
      <c r="J507" s="322">
        <v>250712</v>
      </c>
      <c r="K507" s="79">
        <v>48301</v>
      </c>
      <c r="L507" s="322">
        <v>41456</v>
      </c>
      <c r="M507" s="79">
        <v>274075</v>
      </c>
      <c r="N507" s="322">
        <v>280002</v>
      </c>
      <c r="O507" s="323">
        <f t="shared" si="142"/>
        <v>569421</v>
      </c>
      <c r="P507" s="638">
        <f t="shared" si="152"/>
        <v>569421</v>
      </c>
      <c r="Q507" s="322">
        <v>1426</v>
      </c>
      <c r="R507" s="90">
        <f t="shared" si="156"/>
        <v>18980.7</v>
      </c>
      <c r="S507" s="324">
        <f t="shared" si="143"/>
        <v>572170</v>
      </c>
      <c r="T507" s="638">
        <f t="shared" si="153"/>
        <v>572170</v>
      </c>
      <c r="U507" s="322">
        <v>1463</v>
      </c>
      <c r="V507" s="80">
        <f t="shared" si="157"/>
        <v>19072.333333333332</v>
      </c>
      <c r="W507" s="79"/>
      <c r="X507" s="322"/>
      <c r="Y507" s="79"/>
      <c r="Z507" s="322"/>
      <c r="AA507" s="79"/>
      <c r="AB507" s="322"/>
      <c r="AC507" s="79"/>
      <c r="AD507" s="322"/>
      <c r="AE507" s="323">
        <f t="shared" si="144"/>
        <v>0</v>
      </c>
      <c r="AF507" s="638">
        <f t="shared" si="154"/>
        <v>0</v>
      </c>
      <c r="AG507" s="322"/>
      <c r="AH507" s="90">
        <f t="shared" si="145"/>
        <v>0</v>
      </c>
      <c r="AI507" s="80">
        <f t="shared" si="146"/>
        <v>0</v>
      </c>
      <c r="AJ507" s="638">
        <f t="shared" si="155"/>
        <v>0</v>
      </c>
      <c r="AK507" s="322"/>
      <c r="AL507" s="80">
        <f t="shared" si="147"/>
        <v>0</v>
      </c>
      <c r="AM507" s="79"/>
      <c r="AN507" s="322"/>
      <c r="AO507" s="79">
        <v>13785</v>
      </c>
      <c r="AP507" s="322">
        <v>13997</v>
      </c>
      <c r="AQ507" s="79">
        <v>7838</v>
      </c>
      <c r="AR507" s="322">
        <v>7583</v>
      </c>
      <c r="AS507" s="79">
        <v>15291</v>
      </c>
      <c r="AT507" s="322">
        <v>16762</v>
      </c>
      <c r="AU507" s="325">
        <f t="shared" si="148"/>
        <v>36914</v>
      </c>
      <c r="AV507" s="90">
        <f t="shared" si="158"/>
        <v>1538.0833333333333</v>
      </c>
      <c r="AW507" s="324">
        <f t="shared" si="149"/>
        <v>38342</v>
      </c>
      <c r="AX507" s="80">
        <f t="shared" si="159"/>
        <v>1597.5833333333333</v>
      </c>
      <c r="AY507" s="326">
        <f t="shared" si="150"/>
        <v>20518.783333333333</v>
      </c>
      <c r="AZ507" s="80">
        <f t="shared" si="151"/>
        <v>20669.916666666664</v>
      </c>
    </row>
    <row r="508" spans="1:52">
      <c r="A508" s="206" t="s">
        <v>254</v>
      </c>
      <c r="B508" s="212" t="s">
        <v>259</v>
      </c>
      <c r="C508" s="233">
        <v>221838</v>
      </c>
      <c r="D508" s="209">
        <v>3</v>
      </c>
      <c r="E508" s="162" t="s">
        <v>442</v>
      </c>
      <c r="F508" s="163" t="s">
        <v>442</v>
      </c>
      <c r="G508" s="79"/>
      <c r="H508" s="322"/>
      <c r="I508" s="79">
        <v>89770</v>
      </c>
      <c r="J508" s="322">
        <v>87569</v>
      </c>
      <c r="K508" s="79">
        <v>12931</v>
      </c>
      <c r="L508" s="322">
        <v>9895</v>
      </c>
      <c r="M508" s="79">
        <v>95019</v>
      </c>
      <c r="N508" s="322">
        <v>84732</v>
      </c>
      <c r="O508" s="323">
        <f t="shared" si="142"/>
        <v>197720</v>
      </c>
      <c r="P508" s="638">
        <f t="shared" si="152"/>
        <v>197720</v>
      </c>
      <c r="Q508" s="322">
        <v>0</v>
      </c>
      <c r="R508" s="90">
        <f t="shared" si="156"/>
        <v>6590.666666666667</v>
      </c>
      <c r="S508" s="324">
        <f t="shared" si="143"/>
        <v>182196</v>
      </c>
      <c r="T508" s="638">
        <f t="shared" si="153"/>
        <v>182196</v>
      </c>
      <c r="U508" s="322">
        <v>0</v>
      </c>
      <c r="V508" s="80">
        <f t="shared" si="157"/>
        <v>6073.2</v>
      </c>
      <c r="W508" s="79"/>
      <c r="X508" s="322"/>
      <c r="Y508" s="79"/>
      <c r="Z508" s="322"/>
      <c r="AA508" s="79"/>
      <c r="AB508" s="322"/>
      <c r="AC508" s="79"/>
      <c r="AD508" s="322"/>
      <c r="AE508" s="323">
        <f t="shared" si="144"/>
        <v>0</v>
      </c>
      <c r="AF508" s="638">
        <f t="shared" si="154"/>
        <v>0</v>
      </c>
      <c r="AG508" s="322"/>
      <c r="AH508" s="90">
        <f t="shared" si="145"/>
        <v>0</v>
      </c>
      <c r="AI508" s="80">
        <f t="shared" si="146"/>
        <v>0</v>
      </c>
      <c r="AJ508" s="638">
        <f t="shared" si="155"/>
        <v>0</v>
      </c>
      <c r="AK508" s="322"/>
      <c r="AL508" s="80">
        <f t="shared" si="147"/>
        <v>0</v>
      </c>
      <c r="AM508" s="79"/>
      <c r="AN508" s="322"/>
      <c r="AO508" s="79">
        <v>11113</v>
      </c>
      <c r="AP508" s="322">
        <v>13161</v>
      </c>
      <c r="AQ508" s="79">
        <v>5442</v>
      </c>
      <c r="AR508" s="322">
        <v>5730</v>
      </c>
      <c r="AS508" s="79">
        <v>13568</v>
      </c>
      <c r="AT508" s="322">
        <v>12548</v>
      </c>
      <c r="AU508" s="325">
        <f t="shared" si="148"/>
        <v>30123</v>
      </c>
      <c r="AV508" s="90">
        <f t="shared" si="158"/>
        <v>1255.125</v>
      </c>
      <c r="AW508" s="324">
        <f t="shared" si="149"/>
        <v>31439</v>
      </c>
      <c r="AX508" s="80">
        <f t="shared" si="159"/>
        <v>1309.9583333333333</v>
      </c>
      <c r="AY508" s="326">
        <f t="shared" si="150"/>
        <v>7845.791666666667</v>
      </c>
      <c r="AZ508" s="80">
        <f t="shared" si="151"/>
        <v>7383.1583333333328</v>
      </c>
    </row>
    <row r="509" spans="1:52">
      <c r="A509" s="206" t="s">
        <v>254</v>
      </c>
      <c r="B509" s="212" t="s">
        <v>260</v>
      </c>
      <c r="C509" s="233">
        <v>221740</v>
      </c>
      <c r="D509" s="207">
        <v>3</v>
      </c>
      <c r="E509" s="162" t="s">
        <v>442</v>
      </c>
      <c r="F509" s="163" t="s">
        <v>442</v>
      </c>
      <c r="G509" s="79"/>
      <c r="H509" s="322"/>
      <c r="I509" s="79">
        <v>90876</v>
      </c>
      <c r="J509" s="322">
        <v>97708</v>
      </c>
      <c r="K509" s="79">
        <v>11262</v>
      </c>
      <c r="L509" s="322">
        <v>15424</v>
      </c>
      <c r="M509" s="79">
        <v>109743</v>
      </c>
      <c r="N509" s="322">
        <v>113440</v>
      </c>
      <c r="O509" s="323">
        <f t="shared" si="142"/>
        <v>211881</v>
      </c>
      <c r="P509" s="638">
        <f t="shared" si="152"/>
        <v>211881</v>
      </c>
      <c r="Q509" s="322">
        <v>528</v>
      </c>
      <c r="R509" s="90">
        <f t="shared" si="156"/>
        <v>7062.7</v>
      </c>
      <c r="S509" s="324">
        <f t="shared" si="143"/>
        <v>226572</v>
      </c>
      <c r="T509" s="638">
        <f t="shared" si="153"/>
        <v>226572</v>
      </c>
      <c r="U509" s="322">
        <v>421</v>
      </c>
      <c r="V509" s="80">
        <f t="shared" si="157"/>
        <v>7552.4</v>
      </c>
      <c r="W509" s="79"/>
      <c r="X509" s="322"/>
      <c r="Y509" s="79"/>
      <c r="Z509" s="322"/>
      <c r="AA509" s="79"/>
      <c r="AB509" s="322"/>
      <c r="AC509" s="79"/>
      <c r="AD509" s="322"/>
      <c r="AE509" s="323">
        <f t="shared" si="144"/>
        <v>0</v>
      </c>
      <c r="AF509" s="638">
        <f t="shared" si="154"/>
        <v>0</v>
      </c>
      <c r="AG509" s="322"/>
      <c r="AH509" s="90">
        <f t="shared" si="145"/>
        <v>0</v>
      </c>
      <c r="AI509" s="80">
        <f t="shared" si="146"/>
        <v>0</v>
      </c>
      <c r="AJ509" s="638">
        <f t="shared" si="155"/>
        <v>0</v>
      </c>
      <c r="AK509" s="322"/>
      <c r="AL509" s="80">
        <f t="shared" si="147"/>
        <v>0</v>
      </c>
      <c r="AM509" s="79"/>
      <c r="AN509" s="322"/>
      <c r="AO509" s="79">
        <v>8915</v>
      </c>
      <c r="AP509" s="322">
        <v>9407</v>
      </c>
      <c r="AQ509" s="79">
        <v>3812</v>
      </c>
      <c r="AR509" s="322">
        <v>5857</v>
      </c>
      <c r="AS509" s="79">
        <v>10218</v>
      </c>
      <c r="AT509" s="322">
        <v>10601</v>
      </c>
      <c r="AU509" s="325">
        <f t="shared" si="148"/>
        <v>22945</v>
      </c>
      <c r="AV509" s="90">
        <f t="shared" si="158"/>
        <v>956.04166666666663</v>
      </c>
      <c r="AW509" s="324">
        <f t="shared" si="149"/>
        <v>25865</v>
      </c>
      <c r="AX509" s="80">
        <f t="shared" si="159"/>
        <v>1077.7083333333333</v>
      </c>
      <c r="AY509" s="326">
        <f t="shared" si="150"/>
        <v>8018.7416666666668</v>
      </c>
      <c r="AZ509" s="80">
        <f t="shared" si="151"/>
        <v>8630.1083333333336</v>
      </c>
    </row>
    <row r="510" spans="1:52">
      <c r="A510" s="206" t="s">
        <v>254</v>
      </c>
      <c r="B510" s="399" t="s">
        <v>261</v>
      </c>
      <c r="C510" s="233">
        <v>219602</v>
      </c>
      <c r="D510" s="209">
        <v>4</v>
      </c>
      <c r="E510" s="162" t="s">
        <v>442</v>
      </c>
      <c r="F510" s="163" t="s">
        <v>442</v>
      </c>
      <c r="G510" s="79"/>
      <c r="H510" s="322"/>
      <c r="I510" s="79">
        <v>92022</v>
      </c>
      <c r="J510" s="322">
        <v>90711</v>
      </c>
      <c r="K510" s="79">
        <v>20595</v>
      </c>
      <c r="L510" s="322">
        <v>20505</v>
      </c>
      <c r="M510" s="79">
        <v>101432</v>
      </c>
      <c r="N510" s="322">
        <v>105826</v>
      </c>
      <c r="O510" s="323">
        <f t="shared" si="142"/>
        <v>214049</v>
      </c>
      <c r="P510" s="638">
        <f t="shared" si="152"/>
        <v>214049</v>
      </c>
      <c r="Q510" s="322">
        <v>179</v>
      </c>
      <c r="R510" s="90">
        <f t="shared" si="156"/>
        <v>7134.9666666666662</v>
      </c>
      <c r="S510" s="324">
        <f t="shared" si="143"/>
        <v>217042</v>
      </c>
      <c r="T510" s="638">
        <f t="shared" si="153"/>
        <v>217042</v>
      </c>
      <c r="U510" s="322">
        <v>975</v>
      </c>
      <c r="V510" s="80">
        <f t="shared" si="157"/>
        <v>7234.7333333333336</v>
      </c>
      <c r="W510" s="79"/>
      <c r="X510" s="322"/>
      <c r="Y510" s="79"/>
      <c r="Z510" s="322"/>
      <c r="AA510" s="79"/>
      <c r="AB510" s="322"/>
      <c r="AC510" s="79"/>
      <c r="AD510" s="322"/>
      <c r="AE510" s="323">
        <f t="shared" si="144"/>
        <v>0</v>
      </c>
      <c r="AF510" s="638">
        <f t="shared" si="154"/>
        <v>0</v>
      </c>
      <c r="AG510" s="322"/>
      <c r="AH510" s="90">
        <f t="shared" si="145"/>
        <v>0</v>
      </c>
      <c r="AI510" s="80">
        <f t="shared" si="146"/>
        <v>0</v>
      </c>
      <c r="AJ510" s="638">
        <f t="shared" si="155"/>
        <v>0</v>
      </c>
      <c r="AK510" s="322"/>
      <c r="AL510" s="80">
        <f t="shared" si="147"/>
        <v>0</v>
      </c>
      <c r="AM510" s="79"/>
      <c r="AN510" s="322"/>
      <c r="AO510" s="79">
        <v>4568</v>
      </c>
      <c r="AP510" s="322">
        <v>5611</v>
      </c>
      <c r="AQ510" s="79">
        <v>2057</v>
      </c>
      <c r="AR510" s="322">
        <v>2472</v>
      </c>
      <c r="AS510" s="79">
        <v>4918</v>
      </c>
      <c r="AT510" s="322">
        <v>5326</v>
      </c>
      <c r="AU510" s="325">
        <f t="shared" si="148"/>
        <v>11543</v>
      </c>
      <c r="AV510" s="90">
        <f t="shared" si="158"/>
        <v>480.95833333333331</v>
      </c>
      <c r="AW510" s="324">
        <f t="shared" si="149"/>
        <v>13409</v>
      </c>
      <c r="AX510" s="80">
        <f t="shared" si="159"/>
        <v>558.70833333333337</v>
      </c>
      <c r="AY510" s="326">
        <f t="shared" si="150"/>
        <v>7615.9249999999993</v>
      </c>
      <c r="AZ510" s="80">
        <f t="shared" si="151"/>
        <v>7793.4416666666666</v>
      </c>
    </row>
    <row r="511" spans="1:52">
      <c r="A511" s="206" t="s">
        <v>254</v>
      </c>
      <c r="B511" s="399" t="s">
        <v>262</v>
      </c>
      <c r="C511" s="233">
        <v>221847</v>
      </c>
      <c r="D511" s="209">
        <v>4</v>
      </c>
      <c r="E511" s="162" t="s">
        <v>442</v>
      </c>
      <c r="F511" s="163" t="s">
        <v>442</v>
      </c>
      <c r="G511" s="79"/>
      <c r="H511" s="322"/>
      <c r="I511" s="79">
        <v>94994</v>
      </c>
      <c r="J511" s="322">
        <v>100323</v>
      </c>
      <c r="K511" s="79">
        <v>10540</v>
      </c>
      <c r="L511" s="322">
        <v>10467</v>
      </c>
      <c r="M511" s="79">
        <v>109516</v>
      </c>
      <c r="N511" s="322">
        <v>113274</v>
      </c>
      <c r="O511" s="323">
        <f t="shared" si="142"/>
        <v>215050</v>
      </c>
      <c r="P511" s="638">
        <f t="shared" si="152"/>
        <v>215050</v>
      </c>
      <c r="Q511" s="322">
        <v>272</v>
      </c>
      <c r="R511" s="90">
        <f t="shared" si="156"/>
        <v>7168.333333333333</v>
      </c>
      <c r="S511" s="324">
        <f t="shared" si="143"/>
        <v>224064</v>
      </c>
      <c r="T511" s="638">
        <f t="shared" si="153"/>
        <v>224064</v>
      </c>
      <c r="U511" s="322">
        <v>341</v>
      </c>
      <c r="V511" s="80">
        <f t="shared" si="157"/>
        <v>7468.8</v>
      </c>
      <c r="W511" s="79"/>
      <c r="X511" s="322"/>
      <c r="Y511" s="79"/>
      <c r="Z511" s="322"/>
      <c r="AA511" s="79"/>
      <c r="AB511" s="322"/>
      <c r="AC511" s="79"/>
      <c r="AD511" s="322"/>
      <c r="AE511" s="323">
        <f t="shared" si="144"/>
        <v>0</v>
      </c>
      <c r="AF511" s="638">
        <f t="shared" si="154"/>
        <v>0</v>
      </c>
      <c r="AG511" s="322"/>
      <c r="AH511" s="90">
        <f t="shared" si="145"/>
        <v>0</v>
      </c>
      <c r="AI511" s="80">
        <f t="shared" si="146"/>
        <v>0</v>
      </c>
      <c r="AJ511" s="638">
        <f t="shared" si="155"/>
        <v>0</v>
      </c>
      <c r="AK511" s="322"/>
      <c r="AL511" s="80">
        <f t="shared" si="147"/>
        <v>0</v>
      </c>
      <c r="AM511" s="79"/>
      <c r="AN511" s="322"/>
      <c r="AO511" s="79">
        <v>11016</v>
      </c>
      <c r="AP511" s="322">
        <v>11392</v>
      </c>
      <c r="AQ511" s="79">
        <v>6869</v>
      </c>
      <c r="AR511" s="322">
        <v>7587</v>
      </c>
      <c r="AS511" s="79">
        <v>12126</v>
      </c>
      <c r="AT511" s="322">
        <v>12194</v>
      </c>
      <c r="AU511" s="325">
        <f t="shared" si="148"/>
        <v>30011</v>
      </c>
      <c r="AV511" s="90">
        <f t="shared" si="158"/>
        <v>1250.4583333333333</v>
      </c>
      <c r="AW511" s="324">
        <f t="shared" si="149"/>
        <v>31173</v>
      </c>
      <c r="AX511" s="80">
        <f t="shared" si="159"/>
        <v>1298.875</v>
      </c>
      <c r="AY511" s="326">
        <f t="shared" si="150"/>
        <v>8418.7916666666661</v>
      </c>
      <c r="AZ511" s="80">
        <f t="shared" si="151"/>
        <v>8767.6749999999993</v>
      </c>
    </row>
    <row r="512" spans="1:52">
      <c r="A512" s="206" t="s">
        <v>254</v>
      </c>
      <c r="B512" s="212" t="s">
        <v>263</v>
      </c>
      <c r="C512" s="233">
        <v>221768</v>
      </c>
      <c r="D512" s="209">
        <v>5</v>
      </c>
      <c r="E512" s="162" t="s">
        <v>442</v>
      </c>
      <c r="F512" s="163" t="s">
        <v>442</v>
      </c>
      <c r="G512" s="79"/>
      <c r="H512" s="322"/>
      <c r="I512" s="79">
        <v>79672</v>
      </c>
      <c r="J512" s="322">
        <v>82532</v>
      </c>
      <c r="K512" s="79">
        <v>12038</v>
      </c>
      <c r="L512" s="322">
        <v>10712</v>
      </c>
      <c r="M512" s="79">
        <v>88473</v>
      </c>
      <c r="N512" s="322">
        <v>91420</v>
      </c>
      <c r="O512" s="323">
        <f t="shared" si="142"/>
        <v>180183</v>
      </c>
      <c r="P512" s="638">
        <f t="shared" si="152"/>
        <v>180183</v>
      </c>
      <c r="Q512" s="322">
        <v>5861</v>
      </c>
      <c r="R512" s="90">
        <f t="shared" si="156"/>
        <v>6006.1</v>
      </c>
      <c r="S512" s="324">
        <f t="shared" si="143"/>
        <v>184664</v>
      </c>
      <c r="T512" s="638">
        <f t="shared" si="153"/>
        <v>184664</v>
      </c>
      <c r="U512" s="322">
        <v>6044</v>
      </c>
      <c r="V512" s="80">
        <f t="shared" si="157"/>
        <v>6155.4666666666662</v>
      </c>
      <c r="W512" s="79"/>
      <c r="X512" s="322"/>
      <c r="Y512" s="79"/>
      <c r="Z512" s="322"/>
      <c r="AA512" s="79"/>
      <c r="AB512" s="322"/>
      <c r="AC512" s="79"/>
      <c r="AD512" s="322"/>
      <c r="AE512" s="323">
        <f t="shared" si="144"/>
        <v>0</v>
      </c>
      <c r="AF512" s="638">
        <f t="shared" si="154"/>
        <v>0</v>
      </c>
      <c r="AG512" s="322"/>
      <c r="AH512" s="90">
        <f t="shared" si="145"/>
        <v>0</v>
      </c>
      <c r="AI512" s="80">
        <f t="shared" si="146"/>
        <v>0</v>
      </c>
      <c r="AJ512" s="638">
        <f t="shared" si="155"/>
        <v>0</v>
      </c>
      <c r="AK512" s="322"/>
      <c r="AL512" s="80">
        <f t="shared" si="147"/>
        <v>0</v>
      </c>
      <c r="AM512" s="79"/>
      <c r="AN512" s="322"/>
      <c r="AO512" s="79">
        <v>2730</v>
      </c>
      <c r="AP512" s="322">
        <v>2223</v>
      </c>
      <c r="AQ512" s="79">
        <v>1471</v>
      </c>
      <c r="AR512" s="322">
        <v>1523</v>
      </c>
      <c r="AS512" s="79">
        <v>2515</v>
      </c>
      <c r="AT512" s="322">
        <v>2528</v>
      </c>
      <c r="AU512" s="325">
        <f t="shared" si="148"/>
        <v>6716</v>
      </c>
      <c r="AV512" s="90">
        <f t="shared" si="158"/>
        <v>279.83333333333331</v>
      </c>
      <c r="AW512" s="324">
        <f t="shared" si="149"/>
        <v>6274</v>
      </c>
      <c r="AX512" s="80">
        <f t="shared" si="159"/>
        <v>261.41666666666669</v>
      </c>
      <c r="AY512" s="326">
        <f t="shared" si="150"/>
        <v>6285.9333333333334</v>
      </c>
      <c r="AZ512" s="80">
        <f t="shared" si="151"/>
        <v>6416.8833333333332</v>
      </c>
    </row>
    <row r="513" spans="1:52">
      <c r="A513" s="206" t="s">
        <v>254</v>
      </c>
      <c r="B513" s="212" t="s">
        <v>264</v>
      </c>
      <c r="C513" s="233">
        <v>219824</v>
      </c>
      <c r="D513" s="209">
        <v>8</v>
      </c>
      <c r="E513" s="162" t="s">
        <v>442</v>
      </c>
      <c r="F513" s="163" t="s">
        <v>442</v>
      </c>
      <c r="G513" s="79"/>
      <c r="H513" s="322"/>
      <c r="I513" s="79">
        <v>67376</v>
      </c>
      <c r="J513" s="322">
        <v>66587</v>
      </c>
      <c r="K513" s="79">
        <v>14443</v>
      </c>
      <c r="L513" s="322">
        <v>13892</v>
      </c>
      <c r="M513" s="79">
        <v>75655</v>
      </c>
      <c r="N513" s="322">
        <v>80011</v>
      </c>
      <c r="O513" s="323">
        <f t="shared" si="142"/>
        <v>157474</v>
      </c>
      <c r="P513" s="638">
        <f t="shared" si="152"/>
        <v>157474</v>
      </c>
      <c r="Q513" s="322">
        <v>11514</v>
      </c>
      <c r="R513" s="90">
        <f t="shared" si="156"/>
        <v>5249.1333333333332</v>
      </c>
      <c r="S513" s="324">
        <f t="shared" si="143"/>
        <v>160490</v>
      </c>
      <c r="T513" s="638">
        <f t="shared" si="153"/>
        <v>160490</v>
      </c>
      <c r="U513" s="322">
        <v>10495</v>
      </c>
      <c r="V513" s="80">
        <f t="shared" si="157"/>
        <v>5349.666666666667</v>
      </c>
      <c r="W513" s="79"/>
      <c r="X513" s="322"/>
      <c r="Y513" s="79"/>
      <c r="Z513" s="322"/>
      <c r="AA513" s="79"/>
      <c r="AB513" s="322"/>
      <c r="AC513" s="79"/>
      <c r="AD513" s="322"/>
      <c r="AE513" s="323">
        <f t="shared" si="144"/>
        <v>0</v>
      </c>
      <c r="AF513" s="638">
        <f t="shared" si="154"/>
        <v>0</v>
      </c>
      <c r="AG513" s="322"/>
      <c r="AH513" s="90">
        <f t="shared" si="145"/>
        <v>0</v>
      </c>
      <c r="AI513" s="80">
        <f t="shared" si="146"/>
        <v>0</v>
      </c>
      <c r="AJ513" s="638">
        <f t="shared" si="155"/>
        <v>0</v>
      </c>
      <c r="AK513" s="322"/>
      <c r="AL513" s="80">
        <f t="shared" si="147"/>
        <v>0</v>
      </c>
      <c r="AM513" s="79"/>
      <c r="AN513" s="322"/>
      <c r="AO513" s="79"/>
      <c r="AP513" s="322"/>
      <c r="AQ513" s="79"/>
      <c r="AR513" s="322"/>
      <c r="AS513" s="79"/>
      <c r="AT513" s="322"/>
      <c r="AU513" s="325">
        <f t="shared" si="148"/>
        <v>0</v>
      </c>
      <c r="AV513" s="90">
        <f t="shared" si="158"/>
        <v>0</v>
      </c>
      <c r="AW513" s="324">
        <f t="shared" si="149"/>
        <v>0</v>
      </c>
      <c r="AX513" s="80">
        <f t="shared" si="159"/>
        <v>0</v>
      </c>
      <c r="AY513" s="326">
        <f t="shared" si="150"/>
        <v>5249.1333333333332</v>
      </c>
      <c r="AZ513" s="80">
        <f t="shared" si="151"/>
        <v>5349.666666666667</v>
      </c>
    </row>
    <row r="514" spans="1:52">
      <c r="A514" s="206" t="s">
        <v>254</v>
      </c>
      <c r="B514" s="212" t="s">
        <v>265</v>
      </c>
      <c r="C514" s="233">
        <v>221643</v>
      </c>
      <c r="D514" s="209">
        <v>8</v>
      </c>
      <c r="E514" s="162" t="s">
        <v>442</v>
      </c>
      <c r="F514" s="163" t="s">
        <v>442</v>
      </c>
      <c r="G514" s="79"/>
      <c r="H514" s="322"/>
      <c r="I514" s="79">
        <v>73451</v>
      </c>
      <c r="J514" s="322">
        <v>78038</v>
      </c>
      <c r="K514" s="79">
        <v>17031</v>
      </c>
      <c r="L514" s="322">
        <v>19342</v>
      </c>
      <c r="M514" s="79">
        <v>81692</v>
      </c>
      <c r="N514" s="322">
        <v>85295</v>
      </c>
      <c r="O514" s="323">
        <f t="shared" si="142"/>
        <v>172174</v>
      </c>
      <c r="P514" s="638">
        <f t="shared" si="152"/>
        <v>172174</v>
      </c>
      <c r="Q514" s="322">
        <v>2904</v>
      </c>
      <c r="R514" s="90">
        <f t="shared" si="156"/>
        <v>5739.1333333333332</v>
      </c>
      <c r="S514" s="324">
        <f t="shared" si="143"/>
        <v>182675</v>
      </c>
      <c r="T514" s="638">
        <f t="shared" si="153"/>
        <v>182675</v>
      </c>
      <c r="U514" s="322">
        <v>3523</v>
      </c>
      <c r="V514" s="80">
        <f t="shared" si="157"/>
        <v>6089.166666666667</v>
      </c>
      <c r="W514" s="79"/>
      <c r="X514" s="322"/>
      <c r="Y514" s="79"/>
      <c r="Z514" s="322"/>
      <c r="AA514" s="79"/>
      <c r="AB514" s="322"/>
      <c r="AC514" s="79"/>
      <c r="AD514" s="322"/>
      <c r="AE514" s="323">
        <f t="shared" si="144"/>
        <v>0</v>
      </c>
      <c r="AF514" s="638">
        <f t="shared" si="154"/>
        <v>0</v>
      </c>
      <c r="AG514" s="322"/>
      <c r="AH514" s="90">
        <f t="shared" si="145"/>
        <v>0</v>
      </c>
      <c r="AI514" s="80">
        <f t="shared" si="146"/>
        <v>0</v>
      </c>
      <c r="AJ514" s="638">
        <f t="shared" si="155"/>
        <v>0</v>
      </c>
      <c r="AK514" s="322"/>
      <c r="AL514" s="80">
        <f t="shared" si="147"/>
        <v>0</v>
      </c>
      <c r="AM514" s="79"/>
      <c r="AN514" s="322"/>
      <c r="AO514" s="79"/>
      <c r="AP514" s="322"/>
      <c r="AQ514" s="79"/>
      <c r="AR514" s="322"/>
      <c r="AS514" s="79"/>
      <c r="AT514" s="322"/>
      <c r="AU514" s="325">
        <f t="shared" si="148"/>
        <v>0</v>
      </c>
      <c r="AV514" s="90">
        <f t="shared" si="158"/>
        <v>0</v>
      </c>
      <c r="AW514" s="324">
        <f t="shared" si="149"/>
        <v>0</v>
      </c>
      <c r="AX514" s="80">
        <f t="shared" si="159"/>
        <v>0</v>
      </c>
      <c r="AY514" s="326">
        <f t="shared" si="150"/>
        <v>5739.1333333333332</v>
      </c>
      <c r="AZ514" s="80">
        <f t="shared" si="151"/>
        <v>6089.166666666667</v>
      </c>
    </row>
    <row r="515" spans="1:52">
      <c r="A515" s="206" t="s">
        <v>254</v>
      </c>
      <c r="B515" s="212" t="s">
        <v>266</v>
      </c>
      <c r="C515" s="228">
        <v>221485</v>
      </c>
      <c r="D515" s="209">
        <v>8</v>
      </c>
      <c r="E515" s="162" t="s">
        <v>442</v>
      </c>
      <c r="F515" s="163" t="s">
        <v>442</v>
      </c>
      <c r="G515" s="79"/>
      <c r="H515" s="322"/>
      <c r="I515" s="79">
        <v>99966</v>
      </c>
      <c r="J515" s="322">
        <v>95628</v>
      </c>
      <c r="K515" s="79">
        <v>34575</v>
      </c>
      <c r="L515" s="322">
        <v>30543</v>
      </c>
      <c r="M515" s="79">
        <v>101909</v>
      </c>
      <c r="N515" s="322">
        <v>108283</v>
      </c>
      <c r="O515" s="323">
        <f t="shared" si="142"/>
        <v>236450</v>
      </c>
      <c r="P515" s="638">
        <f t="shared" si="152"/>
        <v>236450</v>
      </c>
      <c r="Q515" s="322">
        <v>1047</v>
      </c>
      <c r="R515" s="90">
        <f t="shared" si="156"/>
        <v>7881.666666666667</v>
      </c>
      <c r="S515" s="324">
        <f t="shared" si="143"/>
        <v>234454</v>
      </c>
      <c r="T515" s="638">
        <f t="shared" si="153"/>
        <v>234454</v>
      </c>
      <c r="U515" s="322">
        <v>1173</v>
      </c>
      <c r="V515" s="80">
        <f t="shared" si="157"/>
        <v>7815.1333333333332</v>
      </c>
      <c r="W515" s="79"/>
      <c r="X515" s="322"/>
      <c r="Y515" s="79"/>
      <c r="Z515" s="322"/>
      <c r="AA515" s="79"/>
      <c r="AB515" s="322"/>
      <c r="AC515" s="79"/>
      <c r="AD515" s="322"/>
      <c r="AE515" s="323">
        <f t="shared" si="144"/>
        <v>0</v>
      </c>
      <c r="AF515" s="638">
        <f t="shared" si="154"/>
        <v>0</v>
      </c>
      <c r="AG515" s="322"/>
      <c r="AH515" s="90">
        <f t="shared" si="145"/>
        <v>0</v>
      </c>
      <c r="AI515" s="80">
        <f t="shared" si="146"/>
        <v>0</v>
      </c>
      <c r="AJ515" s="638">
        <f t="shared" si="155"/>
        <v>0</v>
      </c>
      <c r="AK515" s="322"/>
      <c r="AL515" s="80">
        <f t="shared" si="147"/>
        <v>0</v>
      </c>
      <c r="AM515" s="79"/>
      <c r="AN515" s="322"/>
      <c r="AO515" s="79"/>
      <c r="AP515" s="322"/>
      <c r="AQ515" s="79"/>
      <c r="AR515" s="322"/>
      <c r="AS515" s="79"/>
      <c r="AT515" s="322"/>
      <c r="AU515" s="325">
        <f t="shared" si="148"/>
        <v>0</v>
      </c>
      <c r="AV515" s="90">
        <f t="shared" si="158"/>
        <v>0</v>
      </c>
      <c r="AW515" s="324">
        <f t="shared" si="149"/>
        <v>0</v>
      </c>
      <c r="AX515" s="80">
        <f t="shared" si="159"/>
        <v>0</v>
      </c>
      <c r="AY515" s="326">
        <f t="shared" si="150"/>
        <v>7881.666666666667</v>
      </c>
      <c r="AZ515" s="80">
        <f t="shared" si="151"/>
        <v>7815.1333333333332</v>
      </c>
    </row>
    <row r="516" spans="1:52">
      <c r="A516" s="206" t="s">
        <v>254</v>
      </c>
      <c r="B516" s="212" t="s">
        <v>267</v>
      </c>
      <c r="C516" s="233">
        <v>219879</v>
      </c>
      <c r="D516" s="209">
        <v>9</v>
      </c>
      <c r="E516" s="162" t="s">
        <v>442</v>
      </c>
      <c r="F516" s="163" t="s">
        <v>442</v>
      </c>
      <c r="G516" s="79"/>
      <c r="H516" s="322"/>
      <c r="I516" s="79">
        <v>26206</v>
      </c>
      <c r="J516" s="322">
        <v>28197</v>
      </c>
      <c r="K516" s="79">
        <v>4050</v>
      </c>
      <c r="L516" s="322">
        <v>5104</v>
      </c>
      <c r="M516" s="79">
        <v>30333</v>
      </c>
      <c r="N516" s="322">
        <v>32924</v>
      </c>
      <c r="O516" s="323">
        <f t="shared" ref="O516:O579" si="160">SUM(G516,I516,K516,M516)</f>
        <v>60589</v>
      </c>
      <c r="P516" s="638">
        <f t="shared" si="152"/>
        <v>60589</v>
      </c>
      <c r="Q516" s="322">
        <v>1786</v>
      </c>
      <c r="R516" s="90">
        <f t="shared" si="156"/>
        <v>2019.6333333333334</v>
      </c>
      <c r="S516" s="324">
        <f t="shared" ref="S516:S579" si="161">SUM(H516,J516,L516,N516)</f>
        <v>66225</v>
      </c>
      <c r="T516" s="638">
        <f t="shared" si="153"/>
        <v>66225</v>
      </c>
      <c r="U516" s="322">
        <v>2603</v>
      </c>
      <c r="V516" s="80">
        <f t="shared" si="157"/>
        <v>2207.5</v>
      </c>
      <c r="W516" s="79"/>
      <c r="X516" s="322"/>
      <c r="Y516" s="79"/>
      <c r="Z516" s="322"/>
      <c r="AA516" s="79"/>
      <c r="AB516" s="322"/>
      <c r="AC516" s="79"/>
      <c r="AD516" s="322"/>
      <c r="AE516" s="323">
        <f t="shared" ref="AE516:AE579" si="162">SUM(W516,Y516,AA516,AC516)</f>
        <v>0</v>
      </c>
      <c r="AF516" s="638">
        <f t="shared" si="154"/>
        <v>0</v>
      </c>
      <c r="AG516" s="322"/>
      <c r="AH516" s="90">
        <f t="shared" ref="AH516:AH579" si="163">+AE516/900</f>
        <v>0</v>
      </c>
      <c r="AI516" s="80">
        <f t="shared" ref="AI516:AI579" si="164">SUM(X516,Z516,AB516,AD516)</f>
        <v>0</v>
      </c>
      <c r="AJ516" s="638">
        <f t="shared" si="155"/>
        <v>0</v>
      </c>
      <c r="AK516" s="322"/>
      <c r="AL516" s="80">
        <f t="shared" ref="AL516:AL579" si="165">+AI516/900</f>
        <v>0</v>
      </c>
      <c r="AM516" s="79"/>
      <c r="AN516" s="322"/>
      <c r="AO516" s="79"/>
      <c r="AP516" s="322"/>
      <c r="AQ516" s="79"/>
      <c r="AR516" s="322"/>
      <c r="AS516" s="79"/>
      <c r="AT516" s="322"/>
      <c r="AU516" s="325">
        <f t="shared" ref="AU516:AU579" si="166">SUM(AM516,AO516,AQ516,AS516)</f>
        <v>0</v>
      </c>
      <c r="AV516" s="90">
        <f t="shared" si="158"/>
        <v>0</v>
      </c>
      <c r="AW516" s="324">
        <f t="shared" ref="AW516:AW579" si="167">SUM(AN516,AP516,AR516,AT516)</f>
        <v>0</v>
      </c>
      <c r="AX516" s="80">
        <f t="shared" si="159"/>
        <v>0</v>
      </c>
      <c r="AY516" s="326">
        <f t="shared" ref="AY516:AY579" si="168">SUM(R516,AH516,AV516)</f>
        <v>2019.6333333333334</v>
      </c>
      <c r="AZ516" s="80">
        <f t="shared" ref="AZ516:AZ579" si="169">SUM(V516,AL516,AX516)</f>
        <v>2207.5</v>
      </c>
    </row>
    <row r="517" spans="1:52">
      <c r="A517" s="206" t="s">
        <v>254</v>
      </c>
      <c r="B517" s="212" t="s">
        <v>268</v>
      </c>
      <c r="C517" s="233">
        <v>219888</v>
      </c>
      <c r="D517" s="209">
        <v>9</v>
      </c>
      <c r="E517" s="162" t="s">
        <v>442</v>
      </c>
      <c r="F517" s="163" t="s">
        <v>442</v>
      </c>
      <c r="G517" s="79"/>
      <c r="H517" s="322"/>
      <c r="I517" s="79">
        <v>39521</v>
      </c>
      <c r="J517" s="322">
        <v>40903</v>
      </c>
      <c r="K517" s="79">
        <v>8250</v>
      </c>
      <c r="L517" s="322">
        <v>8676</v>
      </c>
      <c r="M517" s="79">
        <v>45049</v>
      </c>
      <c r="N517" s="322">
        <v>46216</v>
      </c>
      <c r="O517" s="323">
        <f t="shared" si="160"/>
        <v>92820</v>
      </c>
      <c r="P517" s="638">
        <f t="shared" ref="P517:P580" si="170">IF(Q517="—",0,O517)</f>
        <v>92820</v>
      </c>
      <c r="Q517" s="322">
        <v>2327</v>
      </c>
      <c r="R517" s="90">
        <f t="shared" si="156"/>
        <v>3094</v>
      </c>
      <c r="S517" s="324">
        <f t="shared" si="161"/>
        <v>95795</v>
      </c>
      <c r="T517" s="638">
        <f t="shared" ref="T517:T580" si="171">IF(U517="—",0,S517)</f>
        <v>95795</v>
      </c>
      <c r="U517" s="322">
        <v>3587</v>
      </c>
      <c r="V517" s="80">
        <f t="shared" si="157"/>
        <v>3193.1666666666665</v>
      </c>
      <c r="W517" s="79"/>
      <c r="X517" s="322"/>
      <c r="Y517" s="79"/>
      <c r="Z517" s="322"/>
      <c r="AA517" s="79"/>
      <c r="AB517" s="322"/>
      <c r="AC517" s="79"/>
      <c r="AD517" s="322"/>
      <c r="AE517" s="323">
        <f t="shared" si="162"/>
        <v>0</v>
      </c>
      <c r="AF517" s="638">
        <f t="shared" ref="AF517:AF580" si="172">IF(AG517="—",0,AE517)</f>
        <v>0</v>
      </c>
      <c r="AG517" s="322"/>
      <c r="AH517" s="90">
        <f t="shared" si="163"/>
        <v>0</v>
      </c>
      <c r="AI517" s="80">
        <f t="shared" si="164"/>
        <v>0</v>
      </c>
      <c r="AJ517" s="638">
        <f t="shared" ref="AJ517:AJ580" si="173">IF(AK517="—",0,AI517)</f>
        <v>0</v>
      </c>
      <c r="AK517" s="322"/>
      <c r="AL517" s="80">
        <f t="shared" si="165"/>
        <v>0</v>
      </c>
      <c r="AM517" s="79"/>
      <c r="AN517" s="322"/>
      <c r="AO517" s="79"/>
      <c r="AP517" s="322"/>
      <c r="AQ517" s="79"/>
      <c r="AR517" s="322"/>
      <c r="AS517" s="79"/>
      <c r="AT517" s="322"/>
      <c r="AU517" s="325">
        <f t="shared" si="166"/>
        <v>0</v>
      </c>
      <c r="AV517" s="90">
        <f t="shared" si="158"/>
        <v>0</v>
      </c>
      <c r="AW517" s="324">
        <f t="shared" si="167"/>
        <v>0</v>
      </c>
      <c r="AX517" s="80">
        <f t="shared" si="159"/>
        <v>0</v>
      </c>
      <c r="AY517" s="326">
        <f t="shared" si="168"/>
        <v>3094</v>
      </c>
      <c r="AZ517" s="80">
        <f t="shared" si="169"/>
        <v>3193.1666666666665</v>
      </c>
    </row>
    <row r="518" spans="1:52">
      <c r="A518" s="206" t="s">
        <v>254</v>
      </c>
      <c r="B518" s="212" t="s">
        <v>269</v>
      </c>
      <c r="C518" s="233">
        <v>220400</v>
      </c>
      <c r="D518" s="209">
        <v>9</v>
      </c>
      <c r="E518" s="162" t="s">
        <v>442</v>
      </c>
      <c r="F518" s="163" t="s">
        <v>442</v>
      </c>
      <c r="G518" s="79"/>
      <c r="H518" s="322"/>
      <c r="I518" s="79">
        <v>38686</v>
      </c>
      <c r="J518" s="322">
        <v>39424</v>
      </c>
      <c r="K518" s="79">
        <v>9603</v>
      </c>
      <c r="L518" s="322">
        <v>10798</v>
      </c>
      <c r="M518" s="79">
        <v>44296</v>
      </c>
      <c r="N518" s="322">
        <v>42051</v>
      </c>
      <c r="O518" s="323">
        <f t="shared" si="160"/>
        <v>92585</v>
      </c>
      <c r="P518" s="638">
        <f t="shared" si="170"/>
        <v>92585</v>
      </c>
      <c r="Q518" s="322">
        <v>886</v>
      </c>
      <c r="R518" s="90">
        <f t="shared" si="156"/>
        <v>3086.1666666666665</v>
      </c>
      <c r="S518" s="324">
        <f t="shared" si="161"/>
        <v>92273</v>
      </c>
      <c r="T518" s="638">
        <f t="shared" si="171"/>
        <v>92273</v>
      </c>
      <c r="U518" s="322">
        <v>2353</v>
      </c>
      <c r="V518" s="80">
        <f t="shared" si="157"/>
        <v>3075.7666666666669</v>
      </c>
      <c r="W518" s="79"/>
      <c r="X518" s="322"/>
      <c r="Y518" s="79"/>
      <c r="Z518" s="322"/>
      <c r="AA518" s="79"/>
      <c r="AB518" s="322"/>
      <c r="AC518" s="79"/>
      <c r="AD518" s="322"/>
      <c r="AE518" s="323">
        <f t="shared" si="162"/>
        <v>0</v>
      </c>
      <c r="AF518" s="638">
        <f t="shared" si="172"/>
        <v>0</v>
      </c>
      <c r="AG518" s="322"/>
      <c r="AH518" s="90">
        <f t="shared" si="163"/>
        <v>0</v>
      </c>
      <c r="AI518" s="80">
        <f t="shared" si="164"/>
        <v>0</v>
      </c>
      <c r="AJ518" s="638">
        <f t="shared" si="173"/>
        <v>0</v>
      </c>
      <c r="AK518" s="322"/>
      <c r="AL518" s="80">
        <f t="shared" si="165"/>
        <v>0</v>
      </c>
      <c r="AM518" s="79"/>
      <c r="AN518" s="322"/>
      <c r="AO518" s="79"/>
      <c r="AP518" s="322"/>
      <c r="AQ518" s="79"/>
      <c r="AR518" s="322"/>
      <c r="AS518" s="79"/>
      <c r="AT518" s="322"/>
      <c r="AU518" s="325">
        <f t="shared" si="166"/>
        <v>0</v>
      </c>
      <c r="AV518" s="90">
        <f t="shared" si="158"/>
        <v>0</v>
      </c>
      <c r="AW518" s="324">
        <f t="shared" si="167"/>
        <v>0</v>
      </c>
      <c r="AX518" s="80">
        <f t="shared" si="159"/>
        <v>0</v>
      </c>
      <c r="AY518" s="326">
        <f t="shared" si="168"/>
        <v>3086.1666666666665</v>
      </c>
      <c r="AZ518" s="80">
        <f t="shared" si="169"/>
        <v>3075.7666666666669</v>
      </c>
    </row>
    <row r="519" spans="1:52">
      <c r="A519" s="206" t="s">
        <v>254</v>
      </c>
      <c r="B519" s="212" t="s">
        <v>270</v>
      </c>
      <c r="C519" s="233">
        <v>221096</v>
      </c>
      <c r="D519" s="209">
        <v>9</v>
      </c>
      <c r="E519" s="162" t="s">
        <v>442</v>
      </c>
      <c r="F519" s="163" t="s">
        <v>442</v>
      </c>
      <c r="G519" s="79"/>
      <c r="H519" s="322"/>
      <c r="I519" s="79">
        <v>35799</v>
      </c>
      <c r="J519" s="322">
        <v>39112</v>
      </c>
      <c r="K519" s="79">
        <v>5366</v>
      </c>
      <c r="L519" s="322">
        <v>6787</v>
      </c>
      <c r="M519" s="79">
        <v>41078</v>
      </c>
      <c r="N519" s="322">
        <v>43378</v>
      </c>
      <c r="O519" s="323">
        <f t="shared" si="160"/>
        <v>82243</v>
      </c>
      <c r="P519" s="638">
        <f t="shared" si="170"/>
        <v>82243</v>
      </c>
      <c r="Q519" s="322">
        <v>2948</v>
      </c>
      <c r="R519" s="90">
        <f t="shared" si="156"/>
        <v>2741.4333333333334</v>
      </c>
      <c r="S519" s="324">
        <f t="shared" si="161"/>
        <v>89277</v>
      </c>
      <c r="T519" s="638">
        <f t="shared" si="171"/>
        <v>89277</v>
      </c>
      <c r="U519" s="322">
        <v>2974</v>
      </c>
      <c r="V519" s="80">
        <f t="shared" si="157"/>
        <v>2975.9</v>
      </c>
      <c r="W519" s="79"/>
      <c r="X519" s="322"/>
      <c r="Y519" s="79"/>
      <c r="Z519" s="322"/>
      <c r="AA519" s="79"/>
      <c r="AB519" s="322"/>
      <c r="AC519" s="79"/>
      <c r="AD519" s="322"/>
      <c r="AE519" s="323">
        <f t="shared" si="162"/>
        <v>0</v>
      </c>
      <c r="AF519" s="638">
        <f t="shared" si="172"/>
        <v>0</v>
      </c>
      <c r="AG519" s="322"/>
      <c r="AH519" s="90">
        <f t="shared" si="163"/>
        <v>0</v>
      </c>
      <c r="AI519" s="80">
        <f t="shared" si="164"/>
        <v>0</v>
      </c>
      <c r="AJ519" s="638">
        <f t="shared" si="173"/>
        <v>0</v>
      </c>
      <c r="AK519" s="322"/>
      <c r="AL519" s="80">
        <f t="shared" si="165"/>
        <v>0</v>
      </c>
      <c r="AM519" s="79"/>
      <c r="AN519" s="322"/>
      <c r="AO519" s="79"/>
      <c r="AP519" s="322"/>
      <c r="AQ519" s="79"/>
      <c r="AR519" s="322"/>
      <c r="AS519" s="79"/>
      <c r="AT519" s="322"/>
      <c r="AU519" s="325">
        <f t="shared" si="166"/>
        <v>0</v>
      </c>
      <c r="AV519" s="90">
        <f t="shared" si="158"/>
        <v>0</v>
      </c>
      <c r="AW519" s="324">
        <f t="shared" si="167"/>
        <v>0</v>
      </c>
      <c r="AX519" s="80">
        <f t="shared" si="159"/>
        <v>0</v>
      </c>
      <c r="AY519" s="326">
        <f t="shared" si="168"/>
        <v>2741.4333333333334</v>
      </c>
      <c r="AZ519" s="80">
        <f t="shared" si="169"/>
        <v>2975.9</v>
      </c>
    </row>
    <row r="520" spans="1:52">
      <c r="A520" s="206" t="s">
        <v>254</v>
      </c>
      <c r="B520" s="212" t="s">
        <v>271</v>
      </c>
      <c r="C520" s="233">
        <v>221184</v>
      </c>
      <c r="D520" s="209">
        <v>9</v>
      </c>
      <c r="E520" s="162" t="s">
        <v>442</v>
      </c>
      <c r="F520" s="163" t="s">
        <v>442</v>
      </c>
      <c r="G520" s="79"/>
      <c r="H520" s="322"/>
      <c r="I520" s="79">
        <v>57902</v>
      </c>
      <c r="J520" s="322">
        <v>57887</v>
      </c>
      <c r="K520" s="79">
        <v>15166</v>
      </c>
      <c r="L520" s="322">
        <v>17138</v>
      </c>
      <c r="M520" s="79">
        <v>60939</v>
      </c>
      <c r="N520" s="322">
        <v>64723</v>
      </c>
      <c r="O520" s="323">
        <f t="shared" si="160"/>
        <v>134007</v>
      </c>
      <c r="P520" s="638">
        <f t="shared" si="170"/>
        <v>134007</v>
      </c>
      <c r="Q520" s="322">
        <v>2094</v>
      </c>
      <c r="R520" s="90">
        <f t="shared" si="156"/>
        <v>4466.8999999999996</v>
      </c>
      <c r="S520" s="324">
        <f t="shared" si="161"/>
        <v>139748</v>
      </c>
      <c r="T520" s="638">
        <f t="shared" si="171"/>
        <v>139748</v>
      </c>
      <c r="U520" s="322">
        <v>3651</v>
      </c>
      <c r="V520" s="80">
        <f t="shared" si="157"/>
        <v>4658.2666666666664</v>
      </c>
      <c r="W520" s="79"/>
      <c r="X520" s="322"/>
      <c r="Y520" s="79"/>
      <c r="Z520" s="322"/>
      <c r="AA520" s="79"/>
      <c r="AB520" s="322"/>
      <c r="AC520" s="79"/>
      <c r="AD520" s="322"/>
      <c r="AE520" s="323">
        <f t="shared" si="162"/>
        <v>0</v>
      </c>
      <c r="AF520" s="638">
        <f t="shared" si="172"/>
        <v>0</v>
      </c>
      <c r="AG520" s="322"/>
      <c r="AH520" s="90">
        <f t="shared" si="163"/>
        <v>0</v>
      </c>
      <c r="AI520" s="80">
        <f t="shared" si="164"/>
        <v>0</v>
      </c>
      <c r="AJ520" s="638">
        <f t="shared" si="173"/>
        <v>0</v>
      </c>
      <c r="AK520" s="322"/>
      <c r="AL520" s="80">
        <f t="shared" si="165"/>
        <v>0</v>
      </c>
      <c r="AM520" s="79"/>
      <c r="AN520" s="322"/>
      <c r="AO520" s="79"/>
      <c r="AP520" s="322"/>
      <c r="AQ520" s="79"/>
      <c r="AR520" s="322"/>
      <c r="AS520" s="79"/>
      <c r="AT520" s="322"/>
      <c r="AU520" s="325">
        <f t="shared" si="166"/>
        <v>0</v>
      </c>
      <c r="AV520" s="90">
        <f t="shared" si="158"/>
        <v>0</v>
      </c>
      <c r="AW520" s="324">
        <f t="shared" si="167"/>
        <v>0</v>
      </c>
      <c r="AX520" s="80">
        <f t="shared" si="159"/>
        <v>0</v>
      </c>
      <c r="AY520" s="326">
        <f t="shared" si="168"/>
        <v>4466.8999999999996</v>
      </c>
      <c r="AZ520" s="80">
        <f t="shared" si="169"/>
        <v>4658.2666666666664</v>
      </c>
    </row>
    <row r="521" spans="1:52">
      <c r="A521" s="206" t="s">
        <v>254</v>
      </c>
      <c r="B521" s="212" t="s">
        <v>272</v>
      </c>
      <c r="C521" s="233">
        <v>221908</v>
      </c>
      <c r="D521" s="207">
        <v>9</v>
      </c>
      <c r="E521" s="162" t="s">
        <v>442</v>
      </c>
      <c r="F521" s="163" t="s">
        <v>442</v>
      </c>
      <c r="G521" s="79"/>
      <c r="H521" s="322"/>
      <c r="I521" s="79">
        <v>45987</v>
      </c>
      <c r="J521" s="322">
        <v>46909</v>
      </c>
      <c r="K521" s="79">
        <v>10136</v>
      </c>
      <c r="L521" s="322">
        <v>10318</v>
      </c>
      <c r="M521" s="79">
        <v>50798</v>
      </c>
      <c r="N521" s="322">
        <v>54086</v>
      </c>
      <c r="O521" s="323">
        <f t="shared" si="160"/>
        <v>106921</v>
      </c>
      <c r="P521" s="638">
        <f t="shared" si="170"/>
        <v>106921</v>
      </c>
      <c r="Q521" s="322">
        <v>1420</v>
      </c>
      <c r="R521" s="90">
        <f t="shared" si="156"/>
        <v>3564.0333333333333</v>
      </c>
      <c r="S521" s="324">
        <f t="shared" si="161"/>
        <v>111313</v>
      </c>
      <c r="T521" s="638">
        <f t="shared" si="171"/>
        <v>111313</v>
      </c>
      <c r="U521" s="322">
        <v>2391</v>
      </c>
      <c r="V521" s="80">
        <f t="shared" si="157"/>
        <v>3710.4333333333334</v>
      </c>
      <c r="W521" s="79"/>
      <c r="X521" s="322"/>
      <c r="Y521" s="79"/>
      <c r="Z521" s="322"/>
      <c r="AA521" s="79"/>
      <c r="AB521" s="322"/>
      <c r="AC521" s="79"/>
      <c r="AD521" s="322"/>
      <c r="AE521" s="323">
        <f t="shared" si="162"/>
        <v>0</v>
      </c>
      <c r="AF521" s="638">
        <f t="shared" si="172"/>
        <v>0</v>
      </c>
      <c r="AG521" s="322"/>
      <c r="AH521" s="90">
        <f t="shared" si="163"/>
        <v>0</v>
      </c>
      <c r="AI521" s="80">
        <f t="shared" si="164"/>
        <v>0</v>
      </c>
      <c r="AJ521" s="638">
        <f t="shared" si="173"/>
        <v>0</v>
      </c>
      <c r="AK521" s="322"/>
      <c r="AL521" s="80">
        <f t="shared" si="165"/>
        <v>0</v>
      </c>
      <c r="AM521" s="79"/>
      <c r="AN521" s="322"/>
      <c r="AO521" s="79"/>
      <c r="AP521" s="322"/>
      <c r="AQ521" s="79"/>
      <c r="AR521" s="322"/>
      <c r="AS521" s="79"/>
      <c r="AT521" s="322"/>
      <c r="AU521" s="325">
        <f t="shared" si="166"/>
        <v>0</v>
      </c>
      <c r="AV521" s="90">
        <f t="shared" si="158"/>
        <v>0</v>
      </c>
      <c r="AW521" s="324">
        <f t="shared" si="167"/>
        <v>0</v>
      </c>
      <c r="AX521" s="80">
        <f t="shared" si="159"/>
        <v>0</v>
      </c>
      <c r="AY521" s="326">
        <f t="shared" si="168"/>
        <v>3564.0333333333333</v>
      </c>
      <c r="AZ521" s="80">
        <f t="shared" si="169"/>
        <v>3710.4333333333334</v>
      </c>
    </row>
    <row r="522" spans="1:52">
      <c r="A522" s="206" t="s">
        <v>254</v>
      </c>
      <c r="B522" s="212" t="s">
        <v>273</v>
      </c>
      <c r="C522" s="233">
        <v>221397</v>
      </c>
      <c r="D522" s="207">
        <v>9</v>
      </c>
      <c r="E522" s="162" t="s">
        <v>442</v>
      </c>
      <c r="F522" s="163" t="s">
        <v>442</v>
      </c>
      <c r="G522" s="79"/>
      <c r="H522" s="322"/>
      <c r="I522" s="79">
        <v>49107</v>
      </c>
      <c r="J522" s="322">
        <v>50491</v>
      </c>
      <c r="K522" s="79">
        <v>7002</v>
      </c>
      <c r="L522" s="322">
        <v>6892</v>
      </c>
      <c r="M522" s="79">
        <v>56454</v>
      </c>
      <c r="N522" s="322">
        <v>56492</v>
      </c>
      <c r="O522" s="323">
        <f t="shared" si="160"/>
        <v>112563</v>
      </c>
      <c r="P522" s="638">
        <f t="shared" si="170"/>
        <v>112563</v>
      </c>
      <c r="Q522" s="322">
        <v>3099</v>
      </c>
      <c r="R522" s="90">
        <f t="shared" si="156"/>
        <v>3752.1</v>
      </c>
      <c r="S522" s="324">
        <f t="shared" si="161"/>
        <v>113875</v>
      </c>
      <c r="T522" s="638">
        <f t="shared" si="171"/>
        <v>113875</v>
      </c>
      <c r="U522" s="322">
        <v>4113</v>
      </c>
      <c r="V522" s="80">
        <f t="shared" si="157"/>
        <v>3795.8333333333335</v>
      </c>
      <c r="W522" s="79"/>
      <c r="X522" s="322"/>
      <c r="Y522" s="79"/>
      <c r="Z522" s="322"/>
      <c r="AA522" s="79"/>
      <c r="AB522" s="322"/>
      <c r="AC522" s="79"/>
      <c r="AD522" s="322"/>
      <c r="AE522" s="323">
        <f t="shared" si="162"/>
        <v>0</v>
      </c>
      <c r="AF522" s="638">
        <f t="shared" si="172"/>
        <v>0</v>
      </c>
      <c r="AG522" s="322"/>
      <c r="AH522" s="90">
        <f t="shared" si="163"/>
        <v>0</v>
      </c>
      <c r="AI522" s="80">
        <f t="shared" si="164"/>
        <v>0</v>
      </c>
      <c r="AJ522" s="638">
        <f t="shared" si="173"/>
        <v>0</v>
      </c>
      <c r="AK522" s="322"/>
      <c r="AL522" s="80">
        <f t="shared" si="165"/>
        <v>0</v>
      </c>
      <c r="AM522" s="79"/>
      <c r="AN522" s="322"/>
      <c r="AO522" s="79"/>
      <c r="AP522" s="322"/>
      <c r="AQ522" s="79"/>
      <c r="AR522" s="322"/>
      <c r="AS522" s="79"/>
      <c r="AT522" s="322"/>
      <c r="AU522" s="325">
        <f t="shared" si="166"/>
        <v>0</v>
      </c>
      <c r="AV522" s="90">
        <f t="shared" si="158"/>
        <v>0</v>
      </c>
      <c r="AW522" s="324">
        <f t="shared" si="167"/>
        <v>0</v>
      </c>
      <c r="AX522" s="80">
        <f t="shared" si="159"/>
        <v>0</v>
      </c>
      <c r="AY522" s="326">
        <f t="shared" si="168"/>
        <v>3752.1</v>
      </c>
      <c r="AZ522" s="80">
        <f t="shared" si="169"/>
        <v>3795.8333333333335</v>
      </c>
    </row>
    <row r="523" spans="1:52">
      <c r="A523" s="206" t="s">
        <v>254</v>
      </c>
      <c r="B523" s="212" t="s">
        <v>274</v>
      </c>
      <c r="C523" s="233">
        <v>222053</v>
      </c>
      <c r="D523" s="207">
        <v>9</v>
      </c>
      <c r="E523" s="162" t="s">
        <v>442</v>
      </c>
      <c r="F523" s="163" t="s">
        <v>442</v>
      </c>
      <c r="G523" s="79"/>
      <c r="H523" s="322"/>
      <c r="I523" s="79">
        <v>60594</v>
      </c>
      <c r="J523" s="322">
        <v>59251</v>
      </c>
      <c r="K523" s="79">
        <v>15752</v>
      </c>
      <c r="L523" s="322">
        <v>15518</v>
      </c>
      <c r="M523" s="79">
        <v>66401</v>
      </c>
      <c r="N523" s="322">
        <v>68735</v>
      </c>
      <c r="O523" s="323">
        <f t="shared" si="160"/>
        <v>142747</v>
      </c>
      <c r="P523" s="638">
        <f t="shared" si="170"/>
        <v>142747</v>
      </c>
      <c r="Q523" s="322">
        <v>8980</v>
      </c>
      <c r="R523" s="90">
        <f t="shared" si="156"/>
        <v>4758.2333333333336</v>
      </c>
      <c r="S523" s="324">
        <f t="shared" si="161"/>
        <v>143504</v>
      </c>
      <c r="T523" s="638">
        <f t="shared" si="171"/>
        <v>143504</v>
      </c>
      <c r="U523" s="322">
        <v>8757</v>
      </c>
      <c r="V523" s="80">
        <f t="shared" si="157"/>
        <v>4783.4666666666662</v>
      </c>
      <c r="W523" s="79"/>
      <c r="X523" s="322"/>
      <c r="Y523" s="79"/>
      <c r="Z523" s="322"/>
      <c r="AA523" s="79"/>
      <c r="AB523" s="322"/>
      <c r="AC523" s="79"/>
      <c r="AD523" s="322"/>
      <c r="AE523" s="323">
        <f t="shared" si="162"/>
        <v>0</v>
      </c>
      <c r="AF523" s="638">
        <f t="shared" si="172"/>
        <v>0</v>
      </c>
      <c r="AG523" s="322"/>
      <c r="AH523" s="90">
        <f t="shared" si="163"/>
        <v>0</v>
      </c>
      <c r="AI523" s="80">
        <f t="shared" si="164"/>
        <v>0</v>
      </c>
      <c r="AJ523" s="638">
        <f t="shared" si="173"/>
        <v>0</v>
      </c>
      <c r="AK523" s="322"/>
      <c r="AL523" s="80">
        <f t="shared" si="165"/>
        <v>0</v>
      </c>
      <c r="AM523" s="79"/>
      <c r="AN523" s="322"/>
      <c r="AO523" s="79"/>
      <c r="AP523" s="322"/>
      <c r="AQ523" s="79"/>
      <c r="AR523" s="322"/>
      <c r="AS523" s="79"/>
      <c r="AT523" s="322"/>
      <c r="AU523" s="325">
        <f t="shared" si="166"/>
        <v>0</v>
      </c>
      <c r="AV523" s="90">
        <f t="shared" si="158"/>
        <v>0</v>
      </c>
      <c r="AW523" s="324">
        <f t="shared" si="167"/>
        <v>0</v>
      </c>
      <c r="AX523" s="80">
        <f t="shared" si="159"/>
        <v>0</v>
      </c>
      <c r="AY523" s="326">
        <f t="shared" si="168"/>
        <v>4758.2333333333336</v>
      </c>
      <c r="AZ523" s="80">
        <f t="shared" si="169"/>
        <v>4783.4666666666662</v>
      </c>
    </row>
    <row r="524" spans="1:52">
      <c r="A524" s="206" t="s">
        <v>254</v>
      </c>
      <c r="B524" s="212" t="s">
        <v>275</v>
      </c>
      <c r="C524" s="233">
        <v>222062</v>
      </c>
      <c r="D524" s="207">
        <v>9</v>
      </c>
      <c r="E524" s="162" t="s">
        <v>442</v>
      </c>
      <c r="F524" s="163" t="s">
        <v>442</v>
      </c>
      <c r="G524" s="79"/>
      <c r="H524" s="322"/>
      <c r="I524" s="79">
        <v>51004</v>
      </c>
      <c r="J524" s="322">
        <v>52942</v>
      </c>
      <c r="K524" s="79">
        <v>10489</v>
      </c>
      <c r="L524" s="322">
        <v>10613</v>
      </c>
      <c r="M524" s="79">
        <v>58262</v>
      </c>
      <c r="N524" s="322">
        <v>61230</v>
      </c>
      <c r="O524" s="323">
        <f t="shared" si="160"/>
        <v>119755</v>
      </c>
      <c r="P524" s="638">
        <f t="shared" si="170"/>
        <v>119755</v>
      </c>
      <c r="Q524" s="322">
        <v>5511</v>
      </c>
      <c r="R524" s="90">
        <f t="shared" si="156"/>
        <v>3991.8333333333335</v>
      </c>
      <c r="S524" s="324">
        <f t="shared" si="161"/>
        <v>124785</v>
      </c>
      <c r="T524" s="638">
        <f t="shared" si="171"/>
        <v>124785</v>
      </c>
      <c r="U524" s="322">
        <v>6394</v>
      </c>
      <c r="V524" s="80">
        <f t="shared" si="157"/>
        <v>4159.5</v>
      </c>
      <c r="W524" s="79"/>
      <c r="X524" s="322"/>
      <c r="Y524" s="79"/>
      <c r="Z524" s="322"/>
      <c r="AA524" s="79"/>
      <c r="AB524" s="322" t="s">
        <v>421</v>
      </c>
      <c r="AC524" s="79"/>
      <c r="AD524" s="322"/>
      <c r="AE524" s="323">
        <f t="shared" si="162"/>
        <v>0</v>
      </c>
      <c r="AF524" s="638">
        <f t="shared" si="172"/>
        <v>0</v>
      </c>
      <c r="AG524" s="322"/>
      <c r="AH524" s="90">
        <f t="shared" si="163"/>
        <v>0</v>
      </c>
      <c r="AI524" s="80">
        <f t="shared" si="164"/>
        <v>0</v>
      </c>
      <c r="AJ524" s="638">
        <f t="shared" si="173"/>
        <v>0</v>
      </c>
      <c r="AK524" s="322"/>
      <c r="AL524" s="80">
        <f t="shared" si="165"/>
        <v>0</v>
      </c>
      <c r="AM524" s="79"/>
      <c r="AN524" s="322"/>
      <c r="AO524" s="79"/>
      <c r="AP524" s="322"/>
      <c r="AQ524" s="79"/>
      <c r="AR524" s="322"/>
      <c r="AS524" s="79"/>
      <c r="AT524" s="322"/>
      <c r="AU524" s="325">
        <f t="shared" si="166"/>
        <v>0</v>
      </c>
      <c r="AV524" s="90">
        <f t="shared" si="158"/>
        <v>0</v>
      </c>
      <c r="AW524" s="324">
        <f t="shared" si="167"/>
        <v>0</v>
      </c>
      <c r="AX524" s="80">
        <f t="shared" si="159"/>
        <v>0</v>
      </c>
      <c r="AY524" s="326">
        <f t="shared" si="168"/>
        <v>3991.8333333333335</v>
      </c>
      <c r="AZ524" s="80">
        <f t="shared" si="169"/>
        <v>4159.5</v>
      </c>
    </row>
    <row r="525" spans="1:52">
      <c r="A525" s="206" t="s">
        <v>254</v>
      </c>
      <c r="B525" s="212" t="s">
        <v>276</v>
      </c>
      <c r="C525" s="233">
        <v>220057</v>
      </c>
      <c r="D525" s="209">
        <v>10</v>
      </c>
      <c r="E525" s="162" t="s">
        <v>442</v>
      </c>
      <c r="F525" s="163" t="s">
        <v>442</v>
      </c>
      <c r="G525" s="79"/>
      <c r="H525" s="322"/>
      <c r="I525" s="79">
        <v>23047</v>
      </c>
      <c r="J525" s="322">
        <v>22096</v>
      </c>
      <c r="K525" s="79">
        <v>3303</v>
      </c>
      <c r="L525" s="322">
        <v>3333</v>
      </c>
      <c r="M525" s="79">
        <v>25026</v>
      </c>
      <c r="N525" s="322">
        <v>26113</v>
      </c>
      <c r="O525" s="323">
        <f t="shared" si="160"/>
        <v>51376</v>
      </c>
      <c r="P525" s="638">
        <f t="shared" si="170"/>
        <v>51376</v>
      </c>
      <c r="Q525" s="322">
        <v>2361</v>
      </c>
      <c r="R525" s="90">
        <f t="shared" si="156"/>
        <v>1712.5333333333333</v>
      </c>
      <c r="S525" s="324">
        <f t="shared" si="161"/>
        <v>51542</v>
      </c>
      <c r="T525" s="638">
        <f t="shared" si="171"/>
        <v>51542</v>
      </c>
      <c r="U525" s="322">
        <v>3629</v>
      </c>
      <c r="V525" s="80">
        <f t="shared" si="157"/>
        <v>1718.0666666666666</v>
      </c>
      <c r="W525" s="79"/>
      <c r="X525" s="322"/>
      <c r="Y525" s="79"/>
      <c r="Z525" s="322"/>
      <c r="AA525" s="79"/>
      <c r="AB525" s="322"/>
      <c r="AC525" s="79"/>
      <c r="AD525" s="322"/>
      <c r="AE525" s="323">
        <f t="shared" si="162"/>
        <v>0</v>
      </c>
      <c r="AF525" s="638">
        <f t="shared" si="172"/>
        <v>0</v>
      </c>
      <c r="AG525" s="322"/>
      <c r="AH525" s="90">
        <f t="shared" si="163"/>
        <v>0</v>
      </c>
      <c r="AI525" s="80">
        <f t="shared" si="164"/>
        <v>0</v>
      </c>
      <c r="AJ525" s="638">
        <f t="shared" si="173"/>
        <v>0</v>
      </c>
      <c r="AK525" s="322"/>
      <c r="AL525" s="80">
        <f t="shared" si="165"/>
        <v>0</v>
      </c>
      <c r="AM525" s="79"/>
      <c r="AN525" s="322"/>
      <c r="AO525" s="79"/>
      <c r="AP525" s="322"/>
      <c r="AQ525" s="79"/>
      <c r="AR525" s="322"/>
      <c r="AS525" s="79"/>
      <c r="AT525" s="322"/>
      <c r="AU525" s="325">
        <f t="shared" si="166"/>
        <v>0</v>
      </c>
      <c r="AV525" s="90">
        <f t="shared" si="158"/>
        <v>0</v>
      </c>
      <c r="AW525" s="324">
        <f t="shared" si="167"/>
        <v>0</v>
      </c>
      <c r="AX525" s="80">
        <f t="shared" si="159"/>
        <v>0</v>
      </c>
      <c r="AY525" s="326">
        <f t="shared" si="168"/>
        <v>1712.5333333333333</v>
      </c>
      <c r="AZ525" s="80">
        <f t="shared" si="169"/>
        <v>1718.0666666666666</v>
      </c>
    </row>
    <row r="526" spans="1:52">
      <c r="A526" s="206" t="s">
        <v>254</v>
      </c>
      <c r="B526" s="212" t="s">
        <v>277</v>
      </c>
      <c r="C526" s="233">
        <v>219596</v>
      </c>
      <c r="D526" s="209">
        <v>13</v>
      </c>
      <c r="E526" s="162" t="s">
        <v>442</v>
      </c>
      <c r="F526" s="163" t="s">
        <v>442</v>
      </c>
      <c r="G526" s="79"/>
      <c r="H526" s="322"/>
      <c r="I526" s="79"/>
      <c r="J526" s="322"/>
      <c r="K526" s="79"/>
      <c r="L526" s="322"/>
      <c r="M526" s="79"/>
      <c r="N526" s="322"/>
      <c r="O526" s="323">
        <f t="shared" si="160"/>
        <v>0</v>
      </c>
      <c r="P526" s="638">
        <f t="shared" si="170"/>
        <v>0</v>
      </c>
      <c r="Q526" s="322"/>
      <c r="R526" s="90">
        <f t="shared" si="156"/>
        <v>0</v>
      </c>
      <c r="S526" s="324">
        <f t="shared" si="161"/>
        <v>0</v>
      </c>
      <c r="T526" s="638">
        <f t="shared" si="171"/>
        <v>0</v>
      </c>
      <c r="U526" s="322"/>
      <c r="V526" s="80">
        <f t="shared" si="157"/>
        <v>0</v>
      </c>
      <c r="W526" s="79"/>
      <c r="X526" s="322"/>
      <c r="Y526" s="79">
        <v>66332</v>
      </c>
      <c r="Z526" s="322">
        <v>85116</v>
      </c>
      <c r="AA526" s="79">
        <v>61686</v>
      </c>
      <c r="AB526" s="322">
        <v>84080</v>
      </c>
      <c r="AC526" s="79">
        <v>82642</v>
      </c>
      <c r="AD526" s="322">
        <v>85132</v>
      </c>
      <c r="AE526" s="323">
        <f t="shared" si="162"/>
        <v>210660</v>
      </c>
      <c r="AF526" s="638">
        <f t="shared" si="172"/>
        <v>0</v>
      </c>
      <c r="AG526" s="639" t="s">
        <v>949</v>
      </c>
      <c r="AH526" s="90">
        <f t="shared" si="163"/>
        <v>234.06666666666666</v>
      </c>
      <c r="AI526" s="80">
        <f t="shared" si="164"/>
        <v>254328</v>
      </c>
      <c r="AJ526" s="638">
        <f t="shared" si="173"/>
        <v>0</v>
      </c>
      <c r="AK526" s="639" t="s">
        <v>949</v>
      </c>
      <c r="AL526" s="80">
        <f t="shared" si="165"/>
        <v>282.58666666666664</v>
      </c>
      <c r="AM526" s="79"/>
      <c r="AN526" s="322"/>
      <c r="AO526" s="79"/>
      <c r="AP526" s="322"/>
      <c r="AQ526" s="79"/>
      <c r="AR526" s="322"/>
      <c r="AS526" s="79"/>
      <c r="AT526" s="322"/>
      <c r="AU526" s="325">
        <f t="shared" si="166"/>
        <v>0</v>
      </c>
      <c r="AV526" s="90">
        <f t="shared" si="158"/>
        <v>0</v>
      </c>
      <c r="AW526" s="324">
        <f t="shared" si="167"/>
        <v>0</v>
      </c>
      <c r="AX526" s="80">
        <f t="shared" si="159"/>
        <v>0</v>
      </c>
      <c r="AY526" s="326">
        <f t="shared" si="168"/>
        <v>234.06666666666666</v>
      </c>
      <c r="AZ526" s="80">
        <f t="shared" si="169"/>
        <v>282.58666666666664</v>
      </c>
    </row>
    <row r="527" spans="1:52">
      <c r="A527" s="206" t="s">
        <v>254</v>
      </c>
      <c r="B527" s="212" t="s">
        <v>278</v>
      </c>
      <c r="C527" s="233" t="s">
        <v>279</v>
      </c>
      <c r="D527" s="209">
        <v>13</v>
      </c>
      <c r="E527" s="162" t="s">
        <v>442</v>
      </c>
      <c r="F527" s="163" t="s">
        <v>442</v>
      </c>
      <c r="G527" s="79"/>
      <c r="H527" s="322"/>
      <c r="I527" s="79"/>
      <c r="J527" s="322"/>
      <c r="K527" s="79"/>
      <c r="L527" s="322"/>
      <c r="M527" s="79"/>
      <c r="N527" s="322"/>
      <c r="O527" s="323">
        <f t="shared" si="160"/>
        <v>0</v>
      </c>
      <c r="P527" s="638">
        <f t="shared" si="170"/>
        <v>0</v>
      </c>
      <c r="Q527" s="322"/>
      <c r="R527" s="90">
        <f t="shared" si="156"/>
        <v>0</v>
      </c>
      <c r="S527" s="324">
        <f t="shared" si="161"/>
        <v>0</v>
      </c>
      <c r="T527" s="638">
        <f t="shared" si="171"/>
        <v>0</v>
      </c>
      <c r="U527" s="322"/>
      <c r="V527" s="80">
        <f t="shared" si="157"/>
        <v>0</v>
      </c>
      <c r="W527" s="79"/>
      <c r="X527" s="322"/>
      <c r="Y527" s="79">
        <v>246642</v>
      </c>
      <c r="Z527" s="322">
        <v>282622</v>
      </c>
      <c r="AA527" s="79">
        <v>157762</v>
      </c>
      <c r="AB527" s="322">
        <v>183284</v>
      </c>
      <c r="AC527" s="79">
        <v>290041</v>
      </c>
      <c r="AD527" s="322">
        <v>330503</v>
      </c>
      <c r="AE527" s="323">
        <f t="shared" si="162"/>
        <v>694445</v>
      </c>
      <c r="AF527" s="638">
        <f t="shared" si="172"/>
        <v>0</v>
      </c>
      <c r="AG527" s="639" t="s">
        <v>949</v>
      </c>
      <c r="AH527" s="90">
        <f t="shared" si="163"/>
        <v>771.60555555555561</v>
      </c>
      <c r="AI527" s="80">
        <f t="shared" si="164"/>
        <v>796409</v>
      </c>
      <c r="AJ527" s="638">
        <f t="shared" si="173"/>
        <v>0</v>
      </c>
      <c r="AK527" s="639" t="s">
        <v>949</v>
      </c>
      <c r="AL527" s="80">
        <f t="shared" si="165"/>
        <v>884.89888888888891</v>
      </c>
      <c r="AM527" s="79"/>
      <c r="AN527" s="322"/>
      <c r="AO527" s="79"/>
      <c r="AP527" s="322"/>
      <c r="AQ527" s="79"/>
      <c r="AR527" s="322"/>
      <c r="AS527" s="79"/>
      <c r="AT527" s="322"/>
      <c r="AU527" s="325">
        <f t="shared" si="166"/>
        <v>0</v>
      </c>
      <c r="AV527" s="90">
        <f t="shared" si="158"/>
        <v>0</v>
      </c>
      <c r="AW527" s="324">
        <f t="shared" si="167"/>
        <v>0</v>
      </c>
      <c r="AX527" s="80">
        <f t="shared" si="159"/>
        <v>0</v>
      </c>
      <c r="AY527" s="326">
        <f t="shared" si="168"/>
        <v>771.60555555555561</v>
      </c>
      <c r="AZ527" s="80">
        <f t="shared" si="169"/>
        <v>884.89888888888891</v>
      </c>
    </row>
    <row r="528" spans="1:52">
      <c r="A528" s="206" t="s">
        <v>254</v>
      </c>
      <c r="B528" s="212" t="s">
        <v>280</v>
      </c>
      <c r="C528" s="233">
        <v>219921</v>
      </c>
      <c r="D528" s="209">
        <v>13</v>
      </c>
      <c r="E528" s="162" t="s">
        <v>442</v>
      </c>
      <c r="F528" s="163" t="s">
        <v>442</v>
      </c>
      <c r="G528" s="79"/>
      <c r="H528" s="322"/>
      <c r="I528" s="79"/>
      <c r="J528" s="322"/>
      <c r="K528" s="79"/>
      <c r="L528" s="322"/>
      <c r="M528" s="79"/>
      <c r="N528" s="322"/>
      <c r="O528" s="323">
        <f t="shared" si="160"/>
        <v>0</v>
      </c>
      <c r="P528" s="638">
        <f t="shared" si="170"/>
        <v>0</v>
      </c>
      <c r="Q528" s="322"/>
      <c r="R528" s="90">
        <f t="shared" si="156"/>
        <v>0</v>
      </c>
      <c r="S528" s="324">
        <f t="shared" si="161"/>
        <v>0</v>
      </c>
      <c r="T528" s="638">
        <f t="shared" si="171"/>
        <v>0</v>
      </c>
      <c r="U528" s="322"/>
      <c r="V528" s="80">
        <f t="shared" si="157"/>
        <v>0</v>
      </c>
      <c r="W528" s="79"/>
      <c r="X528" s="322"/>
      <c r="Y528" s="79">
        <v>43960</v>
      </c>
      <c r="Z528" s="322">
        <v>50201</v>
      </c>
      <c r="AA528" s="79">
        <v>32070</v>
      </c>
      <c r="AB528" s="322">
        <v>45434</v>
      </c>
      <c r="AC528" s="79">
        <v>51296</v>
      </c>
      <c r="AD528" s="322">
        <v>65644</v>
      </c>
      <c r="AE528" s="323">
        <f t="shared" si="162"/>
        <v>127326</v>
      </c>
      <c r="AF528" s="638">
        <f t="shared" si="172"/>
        <v>0</v>
      </c>
      <c r="AG528" s="639" t="s">
        <v>949</v>
      </c>
      <c r="AH528" s="90">
        <f t="shared" si="163"/>
        <v>141.47333333333333</v>
      </c>
      <c r="AI528" s="80">
        <f t="shared" si="164"/>
        <v>161279</v>
      </c>
      <c r="AJ528" s="638">
        <f t="shared" si="173"/>
        <v>0</v>
      </c>
      <c r="AK528" s="639" t="s">
        <v>949</v>
      </c>
      <c r="AL528" s="80">
        <f t="shared" si="165"/>
        <v>179.19888888888889</v>
      </c>
      <c r="AM528" s="79"/>
      <c r="AN528" s="322"/>
      <c r="AO528" s="79"/>
      <c r="AP528" s="322"/>
      <c r="AQ528" s="79"/>
      <c r="AR528" s="322"/>
      <c r="AS528" s="79"/>
      <c r="AT528" s="322"/>
      <c r="AU528" s="325">
        <f t="shared" si="166"/>
        <v>0</v>
      </c>
      <c r="AV528" s="90">
        <f t="shared" si="158"/>
        <v>0</v>
      </c>
      <c r="AW528" s="324">
        <f t="shared" si="167"/>
        <v>0</v>
      </c>
      <c r="AX528" s="80">
        <f t="shared" si="159"/>
        <v>0</v>
      </c>
      <c r="AY528" s="326">
        <f t="shared" si="168"/>
        <v>141.47333333333333</v>
      </c>
      <c r="AZ528" s="80">
        <f t="shared" si="169"/>
        <v>179.19888888888889</v>
      </c>
    </row>
    <row r="529" spans="1:52">
      <c r="A529" s="206" t="s">
        <v>254</v>
      </c>
      <c r="B529" s="212" t="s">
        <v>281</v>
      </c>
      <c r="C529" s="233">
        <v>221591</v>
      </c>
      <c r="D529" s="209">
        <v>13</v>
      </c>
      <c r="E529" s="162" t="s">
        <v>442</v>
      </c>
      <c r="F529" s="163" t="s">
        <v>442</v>
      </c>
      <c r="G529" s="79"/>
      <c r="H529" s="322"/>
      <c r="I529" s="79"/>
      <c r="J529" s="322"/>
      <c r="K529" s="79"/>
      <c r="L529" s="322"/>
      <c r="M529" s="79"/>
      <c r="N529" s="322"/>
      <c r="O529" s="323">
        <f t="shared" si="160"/>
        <v>0</v>
      </c>
      <c r="P529" s="638">
        <f t="shared" si="170"/>
        <v>0</v>
      </c>
      <c r="Q529" s="322"/>
      <c r="R529" s="90">
        <f t="shared" si="156"/>
        <v>0</v>
      </c>
      <c r="S529" s="324">
        <f t="shared" si="161"/>
        <v>0</v>
      </c>
      <c r="T529" s="638">
        <f t="shared" si="171"/>
        <v>0</v>
      </c>
      <c r="U529" s="322"/>
      <c r="V529" s="80">
        <f t="shared" si="157"/>
        <v>0</v>
      </c>
      <c r="W529" s="79"/>
      <c r="X529" s="322"/>
      <c r="Y529" s="79">
        <v>108841</v>
      </c>
      <c r="Z529" s="322">
        <v>107793</v>
      </c>
      <c r="AA529" s="79">
        <v>78103</v>
      </c>
      <c r="AB529" s="322">
        <v>95938</v>
      </c>
      <c r="AC529" s="79">
        <v>113575</v>
      </c>
      <c r="AD529" s="322">
        <v>131254</v>
      </c>
      <c r="AE529" s="323">
        <f t="shared" si="162"/>
        <v>300519</v>
      </c>
      <c r="AF529" s="638">
        <f t="shared" si="172"/>
        <v>0</v>
      </c>
      <c r="AG529" s="639" t="s">
        <v>949</v>
      </c>
      <c r="AH529" s="90">
        <f t="shared" si="163"/>
        <v>333.91</v>
      </c>
      <c r="AI529" s="80">
        <f t="shared" si="164"/>
        <v>334985</v>
      </c>
      <c r="AJ529" s="638">
        <f t="shared" si="173"/>
        <v>0</v>
      </c>
      <c r="AK529" s="639" t="s">
        <v>949</v>
      </c>
      <c r="AL529" s="80">
        <f t="shared" si="165"/>
        <v>372.20555555555558</v>
      </c>
      <c r="AM529" s="79"/>
      <c r="AN529" s="322"/>
      <c r="AO529" s="79"/>
      <c r="AP529" s="322"/>
      <c r="AQ529" s="79"/>
      <c r="AR529" s="322"/>
      <c r="AS529" s="79"/>
      <c r="AT529" s="322"/>
      <c r="AU529" s="325">
        <f t="shared" si="166"/>
        <v>0</v>
      </c>
      <c r="AV529" s="90">
        <f t="shared" si="158"/>
        <v>0</v>
      </c>
      <c r="AW529" s="324">
        <f t="shared" si="167"/>
        <v>0</v>
      </c>
      <c r="AX529" s="80">
        <f t="shared" si="159"/>
        <v>0</v>
      </c>
      <c r="AY529" s="326">
        <f t="shared" si="168"/>
        <v>333.91</v>
      </c>
      <c r="AZ529" s="80">
        <f t="shared" si="169"/>
        <v>372.20555555555558</v>
      </c>
    </row>
    <row r="530" spans="1:52">
      <c r="A530" s="206" t="s">
        <v>254</v>
      </c>
      <c r="B530" s="212" t="s">
        <v>282</v>
      </c>
      <c r="C530" s="233">
        <v>221430</v>
      </c>
      <c r="D530" s="209">
        <v>13</v>
      </c>
      <c r="E530" s="162" t="s">
        <v>442</v>
      </c>
      <c r="F530" s="163" t="s">
        <v>442</v>
      </c>
      <c r="G530" s="79"/>
      <c r="H530" s="322"/>
      <c r="I530" s="79"/>
      <c r="J530" s="322"/>
      <c r="K530" s="79"/>
      <c r="L530" s="322"/>
      <c r="M530" s="79"/>
      <c r="N530" s="322"/>
      <c r="O530" s="323">
        <f t="shared" si="160"/>
        <v>0</v>
      </c>
      <c r="P530" s="638">
        <f t="shared" si="170"/>
        <v>0</v>
      </c>
      <c r="Q530" s="322"/>
      <c r="R530" s="90">
        <f t="shared" si="156"/>
        <v>0</v>
      </c>
      <c r="S530" s="324">
        <f t="shared" si="161"/>
        <v>0</v>
      </c>
      <c r="T530" s="638">
        <f t="shared" si="171"/>
        <v>0</v>
      </c>
      <c r="U530" s="322"/>
      <c r="V530" s="80">
        <f t="shared" si="157"/>
        <v>0</v>
      </c>
      <c r="W530" s="79"/>
      <c r="X530" s="322"/>
      <c r="Y530" s="79">
        <v>79403</v>
      </c>
      <c r="Z530" s="322">
        <v>77807</v>
      </c>
      <c r="AA530" s="79">
        <v>68152</v>
      </c>
      <c r="AB530" s="322">
        <v>70438</v>
      </c>
      <c r="AC530" s="79">
        <v>80436</v>
      </c>
      <c r="AD530" s="330">
        <v>84087</v>
      </c>
      <c r="AE530" s="323">
        <f t="shared" si="162"/>
        <v>227991</v>
      </c>
      <c r="AF530" s="638">
        <f t="shared" si="172"/>
        <v>0</v>
      </c>
      <c r="AG530" s="639" t="s">
        <v>949</v>
      </c>
      <c r="AH530" s="90">
        <f t="shared" si="163"/>
        <v>253.32333333333332</v>
      </c>
      <c r="AI530" s="80">
        <f t="shared" si="164"/>
        <v>232332</v>
      </c>
      <c r="AJ530" s="638">
        <f t="shared" si="173"/>
        <v>0</v>
      </c>
      <c r="AK530" s="639" t="s">
        <v>949</v>
      </c>
      <c r="AL530" s="80">
        <f t="shared" si="165"/>
        <v>258.14666666666665</v>
      </c>
      <c r="AM530" s="79"/>
      <c r="AN530" s="322"/>
      <c r="AO530" s="79"/>
      <c r="AP530" s="322"/>
      <c r="AQ530" s="79"/>
      <c r="AR530" s="322"/>
      <c r="AS530" s="79"/>
      <c r="AT530" s="322"/>
      <c r="AU530" s="325">
        <f t="shared" si="166"/>
        <v>0</v>
      </c>
      <c r="AV530" s="90">
        <f t="shared" si="158"/>
        <v>0</v>
      </c>
      <c r="AW530" s="324">
        <f t="shared" si="167"/>
        <v>0</v>
      </c>
      <c r="AX530" s="80">
        <f t="shared" si="159"/>
        <v>0</v>
      </c>
      <c r="AY530" s="326">
        <f t="shared" si="168"/>
        <v>253.32333333333332</v>
      </c>
      <c r="AZ530" s="80">
        <f t="shared" si="169"/>
        <v>258.14666666666665</v>
      </c>
    </row>
    <row r="531" spans="1:52">
      <c r="A531" s="206" t="s">
        <v>254</v>
      </c>
      <c r="B531" s="212" t="s">
        <v>283</v>
      </c>
      <c r="C531" s="233">
        <v>219994</v>
      </c>
      <c r="D531" s="209">
        <v>13</v>
      </c>
      <c r="E531" s="162" t="s">
        <v>442</v>
      </c>
      <c r="F531" s="163" t="s">
        <v>442</v>
      </c>
      <c r="G531" s="79"/>
      <c r="H531" s="322"/>
      <c r="I531" s="79"/>
      <c r="J531" s="322"/>
      <c r="K531" s="79"/>
      <c r="L531" s="322"/>
      <c r="M531" s="79"/>
      <c r="N531" s="322"/>
      <c r="O531" s="323">
        <f t="shared" si="160"/>
        <v>0</v>
      </c>
      <c r="P531" s="638">
        <f t="shared" si="170"/>
        <v>0</v>
      </c>
      <c r="Q531" s="322"/>
      <c r="R531" s="90">
        <f t="shared" si="156"/>
        <v>0</v>
      </c>
      <c r="S531" s="324">
        <f t="shared" si="161"/>
        <v>0</v>
      </c>
      <c r="T531" s="638">
        <f t="shared" si="171"/>
        <v>0</v>
      </c>
      <c r="U531" s="322"/>
      <c r="V531" s="80">
        <f t="shared" si="157"/>
        <v>0</v>
      </c>
      <c r="W531" s="79"/>
      <c r="X531" s="322"/>
      <c r="Y531" s="79">
        <v>139714</v>
      </c>
      <c r="Z531" s="322">
        <v>145228</v>
      </c>
      <c r="AA531" s="79">
        <v>130374</v>
      </c>
      <c r="AB531" s="322">
        <v>143510</v>
      </c>
      <c r="AC531" s="79">
        <v>155102</v>
      </c>
      <c r="AD531" s="330">
        <v>166274</v>
      </c>
      <c r="AE531" s="323">
        <f t="shared" si="162"/>
        <v>425190</v>
      </c>
      <c r="AF531" s="638">
        <f t="shared" si="172"/>
        <v>0</v>
      </c>
      <c r="AG531" s="639" t="s">
        <v>949</v>
      </c>
      <c r="AH531" s="90">
        <f t="shared" si="163"/>
        <v>472.43333333333334</v>
      </c>
      <c r="AI531" s="80">
        <f t="shared" si="164"/>
        <v>455012</v>
      </c>
      <c r="AJ531" s="638">
        <f t="shared" si="173"/>
        <v>0</v>
      </c>
      <c r="AK531" s="639" t="s">
        <v>949</v>
      </c>
      <c r="AL531" s="80">
        <f t="shared" si="165"/>
        <v>505.56888888888886</v>
      </c>
      <c r="AM531" s="79"/>
      <c r="AN531" s="322"/>
      <c r="AO531" s="79"/>
      <c r="AP531" s="322"/>
      <c r="AQ531" s="79"/>
      <c r="AR531" s="322"/>
      <c r="AS531" s="79"/>
      <c r="AT531" s="322"/>
      <c r="AU531" s="325">
        <f t="shared" si="166"/>
        <v>0</v>
      </c>
      <c r="AV531" s="90">
        <f t="shared" si="158"/>
        <v>0</v>
      </c>
      <c r="AW531" s="324">
        <f t="shared" si="167"/>
        <v>0</v>
      </c>
      <c r="AX531" s="80">
        <f t="shared" si="159"/>
        <v>0</v>
      </c>
      <c r="AY531" s="326">
        <f t="shared" si="168"/>
        <v>472.43333333333334</v>
      </c>
      <c r="AZ531" s="80">
        <f t="shared" si="169"/>
        <v>505.56888888888886</v>
      </c>
    </row>
    <row r="532" spans="1:52">
      <c r="A532" s="206" t="s">
        <v>254</v>
      </c>
      <c r="B532" s="212" t="s">
        <v>284</v>
      </c>
      <c r="C532" s="233">
        <v>220127</v>
      </c>
      <c r="D532" s="209">
        <v>13</v>
      </c>
      <c r="E532" s="162" t="s">
        <v>442</v>
      </c>
      <c r="F532" s="163" t="s">
        <v>442</v>
      </c>
      <c r="G532" s="79"/>
      <c r="H532" s="322"/>
      <c r="I532" s="79"/>
      <c r="J532" s="322"/>
      <c r="K532" s="79"/>
      <c r="L532" s="322"/>
      <c r="M532" s="79"/>
      <c r="N532" s="322"/>
      <c r="O532" s="323">
        <f t="shared" si="160"/>
        <v>0</v>
      </c>
      <c r="P532" s="638">
        <f t="shared" si="170"/>
        <v>0</v>
      </c>
      <c r="Q532" s="322"/>
      <c r="R532" s="90">
        <f t="shared" ref="R532:R595" si="174">+O532/30</f>
        <v>0</v>
      </c>
      <c r="S532" s="324">
        <f t="shared" si="161"/>
        <v>0</v>
      </c>
      <c r="T532" s="638">
        <f t="shared" si="171"/>
        <v>0</v>
      </c>
      <c r="U532" s="322"/>
      <c r="V532" s="80">
        <f t="shared" ref="V532:V595" si="175">+S532/30</f>
        <v>0</v>
      </c>
      <c r="W532" s="79"/>
      <c r="X532" s="322"/>
      <c r="Y532" s="79">
        <v>147241</v>
      </c>
      <c r="Z532" s="322">
        <v>162439</v>
      </c>
      <c r="AA532" s="79">
        <v>139113</v>
      </c>
      <c r="AB532" s="331">
        <v>153363</v>
      </c>
      <c r="AC532" s="79">
        <v>150913</v>
      </c>
      <c r="AD532" s="330">
        <v>154189</v>
      </c>
      <c r="AE532" s="323">
        <f t="shared" si="162"/>
        <v>437267</v>
      </c>
      <c r="AF532" s="638">
        <f t="shared" si="172"/>
        <v>0</v>
      </c>
      <c r="AG532" s="639" t="s">
        <v>949</v>
      </c>
      <c r="AH532" s="90">
        <f t="shared" si="163"/>
        <v>485.85222222222222</v>
      </c>
      <c r="AI532" s="80">
        <f t="shared" si="164"/>
        <v>469991</v>
      </c>
      <c r="AJ532" s="638">
        <f t="shared" si="173"/>
        <v>0</v>
      </c>
      <c r="AK532" s="639" t="s">
        <v>949</v>
      </c>
      <c r="AL532" s="80">
        <f t="shared" si="165"/>
        <v>522.21222222222218</v>
      </c>
      <c r="AM532" s="79"/>
      <c r="AN532" s="322"/>
      <c r="AO532" s="79"/>
      <c r="AP532" s="322"/>
      <c r="AQ532" s="79"/>
      <c r="AR532" s="322"/>
      <c r="AS532" s="79"/>
      <c r="AT532" s="322"/>
      <c r="AU532" s="325">
        <f t="shared" si="166"/>
        <v>0</v>
      </c>
      <c r="AV532" s="90">
        <f t="shared" ref="AV532:AV595" si="176">+AU532/24</f>
        <v>0</v>
      </c>
      <c r="AW532" s="324">
        <f t="shared" si="167"/>
        <v>0</v>
      </c>
      <c r="AX532" s="80">
        <f t="shared" ref="AX532:AX595" si="177">+AW532/24</f>
        <v>0</v>
      </c>
      <c r="AY532" s="326">
        <f t="shared" si="168"/>
        <v>485.85222222222222</v>
      </c>
      <c r="AZ532" s="80">
        <f t="shared" si="169"/>
        <v>522.21222222222218</v>
      </c>
    </row>
    <row r="533" spans="1:52">
      <c r="A533" s="206" t="s">
        <v>254</v>
      </c>
      <c r="B533" s="212" t="s">
        <v>285</v>
      </c>
      <c r="C533" s="233">
        <v>220251</v>
      </c>
      <c r="D533" s="209">
        <v>13</v>
      </c>
      <c r="E533" s="162" t="s">
        <v>442</v>
      </c>
      <c r="F533" s="163" t="s">
        <v>442</v>
      </c>
      <c r="G533" s="79"/>
      <c r="H533" s="322"/>
      <c r="I533" s="79"/>
      <c r="J533" s="322"/>
      <c r="K533" s="79"/>
      <c r="L533" s="322"/>
      <c r="M533" s="79"/>
      <c r="N533" s="322"/>
      <c r="O533" s="323">
        <f t="shared" si="160"/>
        <v>0</v>
      </c>
      <c r="P533" s="638">
        <f t="shared" si="170"/>
        <v>0</v>
      </c>
      <c r="Q533" s="322"/>
      <c r="R533" s="90">
        <f t="shared" si="174"/>
        <v>0</v>
      </c>
      <c r="S533" s="324">
        <f t="shared" si="161"/>
        <v>0</v>
      </c>
      <c r="T533" s="638">
        <f t="shared" si="171"/>
        <v>0</v>
      </c>
      <c r="U533" s="322"/>
      <c r="V533" s="80">
        <f t="shared" si="175"/>
        <v>0</v>
      </c>
      <c r="W533" s="79"/>
      <c r="X533" s="322"/>
      <c r="Y533" s="79">
        <v>60712</v>
      </c>
      <c r="Z533" s="322">
        <v>63627</v>
      </c>
      <c r="AA533" s="79">
        <v>56890</v>
      </c>
      <c r="AB533" s="331">
        <v>67253</v>
      </c>
      <c r="AC533" s="79">
        <v>70730</v>
      </c>
      <c r="AD533" s="330">
        <v>93494</v>
      </c>
      <c r="AE533" s="323">
        <f t="shared" si="162"/>
        <v>188332</v>
      </c>
      <c r="AF533" s="638">
        <f t="shared" si="172"/>
        <v>0</v>
      </c>
      <c r="AG533" s="639" t="s">
        <v>949</v>
      </c>
      <c r="AH533" s="90">
        <f t="shared" si="163"/>
        <v>209.25777777777779</v>
      </c>
      <c r="AI533" s="80">
        <f t="shared" si="164"/>
        <v>224374</v>
      </c>
      <c r="AJ533" s="638">
        <f t="shared" si="173"/>
        <v>0</v>
      </c>
      <c r="AK533" s="639" t="s">
        <v>949</v>
      </c>
      <c r="AL533" s="80">
        <f t="shared" si="165"/>
        <v>249.30444444444444</v>
      </c>
      <c r="AM533" s="79"/>
      <c r="AN533" s="322"/>
      <c r="AO533" s="79"/>
      <c r="AP533" s="322"/>
      <c r="AQ533" s="79"/>
      <c r="AR533" s="322"/>
      <c r="AS533" s="79"/>
      <c r="AT533" s="322"/>
      <c r="AU533" s="325">
        <f t="shared" si="166"/>
        <v>0</v>
      </c>
      <c r="AV533" s="90">
        <f t="shared" si="176"/>
        <v>0</v>
      </c>
      <c r="AW533" s="324">
        <f t="shared" si="167"/>
        <v>0</v>
      </c>
      <c r="AX533" s="80">
        <f t="shared" si="177"/>
        <v>0</v>
      </c>
      <c r="AY533" s="326">
        <f t="shared" si="168"/>
        <v>209.25777777777779</v>
      </c>
      <c r="AZ533" s="80">
        <f t="shared" si="169"/>
        <v>249.30444444444444</v>
      </c>
    </row>
    <row r="534" spans="1:52">
      <c r="A534" s="206" t="s">
        <v>254</v>
      </c>
      <c r="B534" s="212" t="s">
        <v>286</v>
      </c>
      <c r="C534" s="233">
        <v>220279</v>
      </c>
      <c r="D534" s="209">
        <v>13</v>
      </c>
      <c r="E534" s="162" t="s">
        <v>442</v>
      </c>
      <c r="F534" s="163" t="s">
        <v>442</v>
      </c>
      <c r="G534" s="79"/>
      <c r="H534" s="322"/>
      <c r="I534" s="79"/>
      <c r="J534" s="322"/>
      <c r="K534" s="79"/>
      <c r="L534" s="322"/>
      <c r="M534" s="79"/>
      <c r="N534" s="322"/>
      <c r="O534" s="323">
        <f t="shared" si="160"/>
        <v>0</v>
      </c>
      <c r="P534" s="638">
        <f t="shared" si="170"/>
        <v>0</v>
      </c>
      <c r="Q534" s="322"/>
      <c r="R534" s="90">
        <f t="shared" si="174"/>
        <v>0</v>
      </c>
      <c r="S534" s="324">
        <f t="shared" si="161"/>
        <v>0</v>
      </c>
      <c r="T534" s="638">
        <f t="shared" si="171"/>
        <v>0</v>
      </c>
      <c r="U534" s="322"/>
      <c r="V534" s="80">
        <f t="shared" si="175"/>
        <v>0</v>
      </c>
      <c r="W534" s="79"/>
      <c r="X534" s="322"/>
      <c r="Y534" s="79">
        <v>69301</v>
      </c>
      <c r="Z534" s="322">
        <v>72841</v>
      </c>
      <c r="AA534" s="79">
        <v>60735</v>
      </c>
      <c r="AB534" s="331">
        <v>75756</v>
      </c>
      <c r="AC534" s="79">
        <v>75233</v>
      </c>
      <c r="AD534" s="330">
        <v>119218</v>
      </c>
      <c r="AE534" s="323">
        <f t="shared" si="162"/>
        <v>205269</v>
      </c>
      <c r="AF534" s="638">
        <f t="shared" si="172"/>
        <v>0</v>
      </c>
      <c r="AG534" s="639" t="s">
        <v>949</v>
      </c>
      <c r="AH534" s="90">
        <f t="shared" si="163"/>
        <v>228.07666666666665</v>
      </c>
      <c r="AI534" s="80">
        <f t="shared" si="164"/>
        <v>267815</v>
      </c>
      <c r="AJ534" s="638">
        <f t="shared" si="173"/>
        <v>0</v>
      </c>
      <c r="AK534" s="639" t="s">
        <v>949</v>
      </c>
      <c r="AL534" s="80">
        <f t="shared" si="165"/>
        <v>297.57222222222219</v>
      </c>
      <c r="AM534" s="79"/>
      <c r="AN534" s="322"/>
      <c r="AO534" s="79"/>
      <c r="AP534" s="322"/>
      <c r="AQ534" s="79"/>
      <c r="AR534" s="322"/>
      <c r="AS534" s="79"/>
      <c r="AT534" s="322"/>
      <c r="AU534" s="325">
        <f t="shared" si="166"/>
        <v>0</v>
      </c>
      <c r="AV534" s="90">
        <f t="shared" si="176"/>
        <v>0</v>
      </c>
      <c r="AW534" s="324">
        <f t="shared" si="167"/>
        <v>0</v>
      </c>
      <c r="AX534" s="80">
        <f t="shared" si="177"/>
        <v>0</v>
      </c>
      <c r="AY534" s="326">
        <f t="shared" si="168"/>
        <v>228.07666666666665</v>
      </c>
      <c r="AZ534" s="80">
        <f t="shared" si="169"/>
        <v>297.57222222222219</v>
      </c>
    </row>
    <row r="535" spans="1:52">
      <c r="A535" s="206" t="s">
        <v>254</v>
      </c>
      <c r="B535" s="212" t="s">
        <v>895</v>
      </c>
      <c r="C535" s="233">
        <v>220321</v>
      </c>
      <c r="D535" s="209">
        <v>13</v>
      </c>
      <c r="E535" s="162" t="s">
        <v>442</v>
      </c>
      <c r="F535" s="163" t="s">
        <v>442</v>
      </c>
      <c r="G535" s="79"/>
      <c r="H535" s="322"/>
      <c r="I535" s="79"/>
      <c r="J535" s="322"/>
      <c r="K535" s="79"/>
      <c r="L535" s="322"/>
      <c r="M535" s="79"/>
      <c r="N535" s="322"/>
      <c r="O535" s="323">
        <f t="shared" si="160"/>
        <v>0</v>
      </c>
      <c r="P535" s="638">
        <f t="shared" si="170"/>
        <v>0</v>
      </c>
      <c r="Q535" s="322"/>
      <c r="R535" s="90">
        <f t="shared" si="174"/>
        <v>0</v>
      </c>
      <c r="S535" s="324">
        <f t="shared" si="161"/>
        <v>0</v>
      </c>
      <c r="T535" s="638">
        <f t="shared" si="171"/>
        <v>0</v>
      </c>
      <c r="U535" s="322"/>
      <c r="V535" s="80">
        <f t="shared" si="175"/>
        <v>0</v>
      </c>
      <c r="W535" s="79"/>
      <c r="X535" s="322"/>
      <c r="Y535" s="79">
        <v>128578</v>
      </c>
      <c r="Z535" s="322">
        <v>138721</v>
      </c>
      <c r="AA535" s="79">
        <v>102471</v>
      </c>
      <c r="AB535" s="331">
        <v>110226</v>
      </c>
      <c r="AC535" s="79">
        <v>138796</v>
      </c>
      <c r="AD535" s="330">
        <v>129947</v>
      </c>
      <c r="AE535" s="323">
        <f t="shared" si="162"/>
        <v>369845</v>
      </c>
      <c r="AF535" s="638">
        <f t="shared" si="172"/>
        <v>0</v>
      </c>
      <c r="AG535" s="639" t="s">
        <v>949</v>
      </c>
      <c r="AH535" s="90">
        <f t="shared" si="163"/>
        <v>410.93888888888887</v>
      </c>
      <c r="AI535" s="80">
        <f t="shared" si="164"/>
        <v>378894</v>
      </c>
      <c r="AJ535" s="638">
        <f t="shared" si="173"/>
        <v>0</v>
      </c>
      <c r="AK535" s="639" t="s">
        <v>949</v>
      </c>
      <c r="AL535" s="80">
        <f t="shared" si="165"/>
        <v>420.99333333333334</v>
      </c>
      <c r="AM535" s="79"/>
      <c r="AN535" s="322"/>
      <c r="AO535" s="79"/>
      <c r="AP535" s="322"/>
      <c r="AQ535" s="79"/>
      <c r="AR535" s="322"/>
      <c r="AS535" s="79"/>
      <c r="AT535" s="322"/>
      <c r="AU535" s="325">
        <f t="shared" si="166"/>
        <v>0</v>
      </c>
      <c r="AV535" s="90">
        <f t="shared" si="176"/>
        <v>0</v>
      </c>
      <c r="AW535" s="324">
        <f t="shared" si="167"/>
        <v>0</v>
      </c>
      <c r="AX535" s="80">
        <f t="shared" si="177"/>
        <v>0</v>
      </c>
      <c r="AY535" s="326">
        <f t="shared" si="168"/>
        <v>410.93888888888887</v>
      </c>
      <c r="AZ535" s="80">
        <f t="shared" si="169"/>
        <v>420.99333333333334</v>
      </c>
    </row>
    <row r="536" spans="1:52">
      <c r="A536" s="206" t="s">
        <v>254</v>
      </c>
      <c r="B536" s="212" t="s">
        <v>289</v>
      </c>
      <c r="C536" s="233">
        <v>220394</v>
      </c>
      <c r="D536" s="209">
        <v>13</v>
      </c>
      <c r="E536" s="162" t="s">
        <v>442</v>
      </c>
      <c r="F536" s="163" t="s">
        <v>442</v>
      </c>
      <c r="G536" s="79"/>
      <c r="H536" s="322"/>
      <c r="I536" s="79"/>
      <c r="J536" s="322"/>
      <c r="K536" s="79"/>
      <c r="L536" s="322"/>
      <c r="M536" s="79"/>
      <c r="N536" s="322"/>
      <c r="O536" s="323">
        <f t="shared" si="160"/>
        <v>0</v>
      </c>
      <c r="P536" s="638">
        <f t="shared" si="170"/>
        <v>0</v>
      </c>
      <c r="Q536" s="322"/>
      <c r="R536" s="90">
        <f t="shared" si="174"/>
        <v>0</v>
      </c>
      <c r="S536" s="324">
        <f t="shared" si="161"/>
        <v>0</v>
      </c>
      <c r="T536" s="638">
        <f t="shared" si="171"/>
        <v>0</v>
      </c>
      <c r="U536" s="322"/>
      <c r="V536" s="80">
        <f t="shared" si="175"/>
        <v>0</v>
      </c>
      <c r="W536" s="79"/>
      <c r="X536" s="322"/>
      <c r="Y536" s="79">
        <v>47466</v>
      </c>
      <c r="Z536" s="322">
        <v>50201</v>
      </c>
      <c r="AA536" s="79">
        <v>45720</v>
      </c>
      <c r="AB536" s="331">
        <v>44667</v>
      </c>
      <c r="AC536" s="79">
        <v>53421</v>
      </c>
      <c r="AD536" s="330">
        <v>63073</v>
      </c>
      <c r="AE536" s="323">
        <f t="shared" si="162"/>
        <v>146607</v>
      </c>
      <c r="AF536" s="638">
        <f t="shared" si="172"/>
        <v>0</v>
      </c>
      <c r="AG536" s="639" t="s">
        <v>949</v>
      </c>
      <c r="AH536" s="90">
        <f t="shared" si="163"/>
        <v>162.89666666666668</v>
      </c>
      <c r="AI536" s="80">
        <f t="shared" si="164"/>
        <v>157941</v>
      </c>
      <c r="AJ536" s="638">
        <f t="shared" si="173"/>
        <v>0</v>
      </c>
      <c r="AK536" s="639" t="s">
        <v>949</v>
      </c>
      <c r="AL536" s="80">
        <f t="shared" si="165"/>
        <v>175.49</v>
      </c>
      <c r="AM536" s="79"/>
      <c r="AN536" s="322"/>
      <c r="AO536" s="79"/>
      <c r="AP536" s="322"/>
      <c r="AQ536" s="79"/>
      <c r="AR536" s="322"/>
      <c r="AS536" s="79"/>
      <c r="AT536" s="322"/>
      <c r="AU536" s="325">
        <f t="shared" si="166"/>
        <v>0</v>
      </c>
      <c r="AV536" s="90">
        <f t="shared" si="176"/>
        <v>0</v>
      </c>
      <c r="AW536" s="324">
        <f t="shared" si="167"/>
        <v>0</v>
      </c>
      <c r="AX536" s="80">
        <f t="shared" si="177"/>
        <v>0</v>
      </c>
      <c r="AY536" s="326">
        <f t="shared" si="168"/>
        <v>162.89666666666668</v>
      </c>
      <c r="AZ536" s="80">
        <f t="shared" si="169"/>
        <v>175.49</v>
      </c>
    </row>
    <row r="537" spans="1:52">
      <c r="A537" s="206" t="s">
        <v>254</v>
      </c>
      <c r="B537" s="212" t="s">
        <v>290</v>
      </c>
      <c r="C537" s="233">
        <v>221616</v>
      </c>
      <c r="D537" s="209">
        <v>13</v>
      </c>
      <c r="E537" s="162" t="s">
        <v>442</v>
      </c>
      <c r="F537" s="163" t="s">
        <v>442</v>
      </c>
      <c r="G537" s="79"/>
      <c r="H537" s="322"/>
      <c r="I537" s="79"/>
      <c r="J537" s="322"/>
      <c r="K537" s="79"/>
      <c r="L537" s="322"/>
      <c r="M537" s="79"/>
      <c r="N537" s="322"/>
      <c r="O537" s="323">
        <f t="shared" si="160"/>
        <v>0</v>
      </c>
      <c r="P537" s="638">
        <f t="shared" si="170"/>
        <v>0</v>
      </c>
      <c r="Q537" s="322"/>
      <c r="R537" s="90">
        <f t="shared" si="174"/>
        <v>0</v>
      </c>
      <c r="S537" s="324">
        <f t="shared" si="161"/>
        <v>0</v>
      </c>
      <c r="T537" s="638">
        <f t="shared" si="171"/>
        <v>0</v>
      </c>
      <c r="U537" s="322"/>
      <c r="V537" s="80">
        <f t="shared" si="175"/>
        <v>0</v>
      </c>
      <c r="W537" s="79"/>
      <c r="X537" s="322"/>
      <c r="Y537" s="79">
        <v>156268</v>
      </c>
      <c r="Z537" s="322">
        <v>172479</v>
      </c>
      <c r="AA537" s="79">
        <v>153135</v>
      </c>
      <c r="AB537" s="331">
        <v>171979</v>
      </c>
      <c r="AC537" s="79">
        <v>175305</v>
      </c>
      <c r="AD537" s="330">
        <v>187537</v>
      </c>
      <c r="AE537" s="323">
        <f t="shared" si="162"/>
        <v>484708</v>
      </c>
      <c r="AF537" s="638">
        <f t="shared" si="172"/>
        <v>0</v>
      </c>
      <c r="AG537" s="639" t="s">
        <v>949</v>
      </c>
      <c r="AH537" s="90">
        <f t="shared" si="163"/>
        <v>538.56444444444446</v>
      </c>
      <c r="AI537" s="80">
        <f t="shared" si="164"/>
        <v>531995</v>
      </c>
      <c r="AJ537" s="638">
        <f t="shared" si="173"/>
        <v>0</v>
      </c>
      <c r="AK537" s="639" t="s">
        <v>949</v>
      </c>
      <c r="AL537" s="80">
        <f t="shared" si="165"/>
        <v>591.10555555555561</v>
      </c>
      <c r="AM537" s="79"/>
      <c r="AN537" s="322"/>
      <c r="AO537" s="79"/>
      <c r="AP537" s="322"/>
      <c r="AQ537" s="79"/>
      <c r="AR537" s="322"/>
      <c r="AS537" s="79"/>
      <c r="AT537" s="322"/>
      <c r="AU537" s="325">
        <f t="shared" si="166"/>
        <v>0</v>
      </c>
      <c r="AV537" s="90">
        <f t="shared" si="176"/>
        <v>0</v>
      </c>
      <c r="AW537" s="324">
        <f t="shared" si="167"/>
        <v>0</v>
      </c>
      <c r="AX537" s="80">
        <f t="shared" si="177"/>
        <v>0</v>
      </c>
      <c r="AY537" s="326">
        <f t="shared" si="168"/>
        <v>538.56444444444446</v>
      </c>
      <c r="AZ537" s="80">
        <f t="shared" si="169"/>
        <v>591.10555555555561</v>
      </c>
    </row>
    <row r="538" spans="1:52">
      <c r="A538" s="206" t="s">
        <v>254</v>
      </c>
      <c r="B538" s="212" t="s">
        <v>291</v>
      </c>
      <c r="C538" s="233">
        <v>221625</v>
      </c>
      <c r="D538" s="209">
        <v>13</v>
      </c>
      <c r="E538" s="162" t="s">
        <v>442</v>
      </c>
      <c r="F538" s="163" t="s">
        <v>442</v>
      </c>
      <c r="G538" s="79"/>
      <c r="H538" s="322"/>
      <c r="I538" s="79"/>
      <c r="J538" s="322"/>
      <c r="K538" s="79"/>
      <c r="L538" s="322"/>
      <c r="M538" s="79"/>
      <c r="N538" s="322"/>
      <c r="O538" s="323">
        <f t="shared" si="160"/>
        <v>0</v>
      </c>
      <c r="P538" s="638">
        <f t="shared" si="170"/>
        <v>0</v>
      </c>
      <c r="Q538" s="322"/>
      <c r="R538" s="90">
        <f t="shared" si="174"/>
        <v>0</v>
      </c>
      <c r="S538" s="324">
        <f t="shared" si="161"/>
        <v>0</v>
      </c>
      <c r="T538" s="638">
        <f t="shared" si="171"/>
        <v>0</v>
      </c>
      <c r="U538" s="322"/>
      <c r="V538" s="80">
        <f t="shared" si="175"/>
        <v>0</v>
      </c>
      <c r="W538" s="79"/>
      <c r="X538" s="322"/>
      <c r="Y538" s="79">
        <v>149669</v>
      </c>
      <c r="Z538" s="322">
        <v>186513</v>
      </c>
      <c r="AA538" s="79">
        <v>149598</v>
      </c>
      <c r="AB538" s="331">
        <v>192756</v>
      </c>
      <c r="AC538" s="79">
        <v>187554</v>
      </c>
      <c r="AD538" s="330">
        <v>218637</v>
      </c>
      <c r="AE538" s="323">
        <f t="shared" si="162"/>
        <v>486821</v>
      </c>
      <c r="AF538" s="638">
        <f t="shared" si="172"/>
        <v>0</v>
      </c>
      <c r="AG538" s="639" t="s">
        <v>949</v>
      </c>
      <c r="AH538" s="90">
        <f t="shared" si="163"/>
        <v>540.91222222222223</v>
      </c>
      <c r="AI538" s="80">
        <f t="shared" si="164"/>
        <v>597906</v>
      </c>
      <c r="AJ538" s="638">
        <f t="shared" si="173"/>
        <v>0</v>
      </c>
      <c r="AK538" s="639" t="s">
        <v>949</v>
      </c>
      <c r="AL538" s="80">
        <f t="shared" si="165"/>
        <v>664.34</v>
      </c>
      <c r="AM538" s="79"/>
      <c r="AN538" s="322"/>
      <c r="AO538" s="79"/>
      <c r="AP538" s="322"/>
      <c r="AQ538" s="79"/>
      <c r="AR538" s="322"/>
      <c r="AS538" s="79"/>
      <c r="AT538" s="322"/>
      <c r="AU538" s="325">
        <f t="shared" si="166"/>
        <v>0</v>
      </c>
      <c r="AV538" s="90">
        <f t="shared" si="176"/>
        <v>0</v>
      </c>
      <c r="AW538" s="324">
        <f t="shared" si="167"/>
        <v>0</v>
      </c>
      <c r="AX538" s="80">
        <f t="shared" si="177"/>
        <v>0</v>
      </c>
      <c r="AY538" s="326">
        <f t="shared" si="168"/>
        <v>540.91222222222223</v>
      </c>
      <c r="AZ538" s="80">
        <f t="shared" si="169"/>
        <v>664.34</v>
      </c>
    </row>
    <row r="539" spans="1:52">
      <c r="A539" s="206" t="s">
        <v>254</v>
      </c>
      <c r="B539" s="212" t="s">
        <v>292</v>
      </c>
      <c r="C539" s="233">
        <v>220640</v>
      </c>
      <c r="D539" s="209">
        <v>13</v>
      </c>
      <c r="E539" s="162" t="s">
        <v>442</v>
      </c>
      <c r="F539" s="163" t="s">
        <v>442</v>
      </c>
      <c r="G539" s="79"/>
      <c r="H539" s="322"/>
      <c r="I539" s="79"/>
      <c r="J539" s="322"/>
      <c r="K539" s="79"/>
      <c r="L539" s="322"/>
      <c r="M539" s="79"/>
      <c r="N539" s="322"/>
      <c r="O539" s="323">
        <f t="shared" si="160"/>
        <v>0</v>
      </c>
      <c r="P539" s="638">
        <f t="shared" si="170"/>
        <v>0</v>
      </c>
      <c r="Q539" s="322"/>
      <c r="R539" s="90">
        <f t="shared" si="174"/>
        <v>0</v>
      </c>
      <c r="S539" s="324">
        <f t="shared" si="161"/>
        <v>0</v>
      </c>
      <c r="T539" s="638">
        <f t="shared" si="171"/>
        <v>0</v>
      </c>
      <c r="U539" s="322"/>
      <c r="V539" s="80">
        <f t="shared" si="175"/>
        <v>0</v>
      </c>
      <c r="W539" s="79"/>
      <c r="X539" s="322"/>
      <c r="Y539" s="79">
        <v>121582</v>
      </c>
      <c r="Z539" s="322">
        <v>150732</v>
      </c>
      <c r="AA539" s="79">
        <v>112702</v>
      </c>
      <c r="AB539" s="331">
        <v>124841</v>
      </c>
      <c r="AC539" s="79">
        <v>160376</v>
      </c>
      <c r="AD539" s="330">
        <v>149280</v>
      </c>
      <c r="AE539" s="323">
        <f t="shared" si="162"/>
        <v>394660</v>
      </c>
      <c r="AF539" s="638">
        <f t="shared" si="172"/>
        <v>0</v>
      </c>
      <c r="AG539" s="639" t="s">
        <v>949</v>
      </c>
      <c r="AH539" s="90">
        <f t="shared" si="163"/>
        <v>438.51111111111112</v>
      </c>
      <c r="AI539" s="80">
        <f t="shared" si="164"/>
        <v>424853</v>
      </c>
      <c r="AJ539" s="638">
        <f t="shared" si="173"/>
        <v>0</v>
      </c>
      <c r="AK539" s="639" t="s">
        <v>949</v>
      </c>
      <c r="AL539" s="80">
        <f t="shared" si="165"/>
        <v>472.05888888888887</v>
      </c>
      <c r="AM539" s="79"/>
      <c r="AN539" s="322"/>
      <c r="AO539" s="79"/>
      <c r="AP539" s="322"/>
      <c r="AQ539" s="79"/>
      <c r="AR539" s="322"/>
      <c r="AS539" s="79"/>
      <c r="AT539" s="322"/>
      <c r="AU539" s="325">
        <f t="shared" si="166"/>
        <v>0</v>
      </c>
      <c r="AV539" s="90">
        <f t="shared" si="176"/>
        <v>0</v>
      </c>
      <c r="AW539" s="324">
        <f t="shared" si="167"/>
        <v>0</v>
      </c>
      <c r="AX539" s="80">
        <f t="shared" si="177"/>
        <v>0</v>
      </c>
      <c r="AY539" s="326">
        <f t="shared" si="168"/>
        <v>438.51111111111112</v>
      </c>
      <c r="AZ539" s="80">
        <f t="shared" si="169"/>
        <v>472.05888888888887</v>
      </c>
    </row>
    <row r="540" spans="1:52">
      <c r="A540" s="206" t="s">
        <v>254</v>
      </c>
      <c r="B540" s="212" t="s">
        <v>293</v>
      </c>
      <c r="C540" s="233">
        <v>220756</v>
      </c>
      <c r="D540" s="209">
        <v>13</v>
      </c>
      <c r="E540" s="162" t="s">
        <v>442</v>
      </c>
      <c r="F540" s="163" t="s">
        <v>442</v>
      </c>
      <c r="G540" s="79"/>
      <c r="H540" s="322"/>
      <c r="I540" s="79"/>
      <c r="J540" s="322"/>
      <c r="K540" s="79"/>
      <c r="L540" s="322"/>
      <c r="M540" s="79"/>
      <c r="N540" s="322"/>
      <c r="O540" s="323">
        <f t="shared" si="160"/>
        <v>0</v>
      </c>
      <c r="P540" s="638">
        <f t="shared" si="170"/>
        <v>0</v>
      </c>
      <c r="Q540" s="322"/>
      <c r="R540" s="90">
        <f t="shared" si="174"/>
        <v>0</v>
      </c>
      <c r="S540" s="324">
        <f t="shared" si="161"/>
        <v>0</v>
      </c>
      <c r="T540" s="638">
        <f t="shared" si="171"/>
        <v>0</v>
      </c>
      <c r="U540" s="322"/>
      <c r="V540" s="80">
        <f t="shared" si="175"/>
        <v>0</v>
      </c>
      <c r="W540" s="79"/>
      <c r="X540" s="322"/>
      <c r="Y540" s="79">
        <v>80333</v>
      </c>
      <c r="Z540" s="322">
        <v>85650</v>
      </c>
      <c r="AA540" s="79">
        <v>71973</v>
      </c>
      <c r="AB540" s="331">
        <v>74290</v>
      </c>
      <c r="AC540" s="79">
        <v>88098</v>
      </c>
      <c r="AD540" s="330">
        <v>95402</v>
      </c>
      <c r="AE540" s="323">
        <f t="shared" si="162"/>
        <v>240404</v>
      </c>
      <c r="AF540" s="638">
        <f t="shared" si="172"/>
        <v>0</v>
      </c>
      <c r="AG540" s="639" t="s">
        <v>949</v>
      </c>
      <c r="AH540" s="90">
        <f t="shared" si="163"/>
        <v>267.11555555555555</v>
      </c>
      <c r="AI540" s="80">
        <f t="shared" si="164"/>
        <v>255342</v>
      </c>
      <c r="AJ540" s="638">
        <f t="shared" si="173"/>
        <v>0</v>
      </c>
      <c r="AK540" s="639" t="s">
        <v>949</v>
      </c>
      <c r="AL540" s="80">
        <f t="shared" si="165"/>
        <v>283.71333333333331</v>
      </c>
      <c r="AM540" s="79"/>
      <c r="AN540" s="322"/>
      <c r="AO540" s="79"/>
      <c r="AP540" s="322"/>
      <c r="AQ540" s="79"/>
      <c r="AR540" s="322"/>
      <c r="AS540" s="79"/>
      <c r="AT540" s="322"/>
      <c r="AU540" s="325">
        <f t="shared" si="166"/>
        <v>0</v>
      </c>
      <c r="AV540" s="90">
        <f t="shared" si="176"/>
        <v>0</v>
      </c>
      <c r="AW540" s="324">
        <f t="shared" si="167"/>
        <v>0</v>
      </c>
      <c r="AX540" s="80">
        <f t="shared" si="177"/>
        <v>0</v>
      </c>
      <c r="AY540" s="326">
        <f t="shared" si="168"/>
        <v>267.11555555555555</v>
      </c>
      <c r="AZ540" s="80">
        <f t="shared" si="169"/>
        <v>283.71333333333331</v>
      </c>
    </row>
    <row r="541" spans="1:52">
      <c r="A541" s="206" t="s">
        <v>254</v>
      </c>
      <c r="B541" s="212" t="s">
        <v>294</v>
      </c>
      <c r="C541" s="233">
        <v>221607</v>
      </c>
      <c r="D541" s="207">
        <v>13</v>
      </c>
      <c r="E541" s="162" t="s">
        <v>442</v>
      </c>
      <c r="F541" s="163" t="s">
        <v>442</v>
      </c>
      <c r="G541" s="79"/>
      <c r="H541" s="322"/>
      <c r="I541" s="79"/>
      <c r="J541" s="322"/>
      <c r="K541" s="79"/>
      <c r="L541" s="322"/>
      <c r="M541" s="79"/>
      <c r="N541" s="322"/>
      <c r="O541" s="323">
        <f t="shared" si="160"/>
        <v>0</v>
      </c>
      <c r="P541" s="638">
        <f t="shared" si="170"/>
        <v>0</v>
      </c>
      <c r="Q541" s="322"/>
      <c r="R541" s="90">
        <f t="shared" si="174"/>
        <v>0</v>
      </c>
      <c r="S541" s="324">
        <f t="shared" si="161"/>
        <v>0</v>
      </c>
      <c r="T541" s="638">
        <f t="shared" si="171"/>
        <v>0</v>
      </c>
      <c r="U541" s="322"/>
      <c r="V541" s="80">
        <f t="shared" si="175"/>
        <v>0</v>
      </c>
      <c r="W541" s="79"/>
      <c r="X541" s="322"/>
      <c r="Y541" s="79">
        <v>88251</v>
      </c>
      <c r="Z541" s="322">
        <v>72144</v>
      </c>
      <c r="AA541" s="79">
        <v>85528</v>
      </c>
      <c r="AB541" s="331">
        <v>71465</v>
      </c>
      <c r="AC541" s="79">
        <v>74584</v>
      </c>
      <c r="AD541" s="330">
        <v>88486</v>
      </c>
      <c r="AE541" s="323">
        <f t="shared" si="162"/>
        <v>248363</v>
      </c>
      <c r="AF541" s="638">
        <f t="shared" si="172"/>
        <v>0</v>
      </c>
      <c r="AG541" s="639" t="s">
        <v>949</v>
      </c>
      <c r="AH541" s="90">
        <f t="shared" si="163"/>
        <v>275.95888888888891</v>
      </c>
      <c r="AI541" s="80">
        <f t="shared" si="164"/>
        <v>232095</v>
      </c>
      <c r="AJ541" s="638">
        <f t="shared" si="173"/>
        <v>0</v>
      </c>
      <c r="AK541" s="639" t="s">
        <v>949</v>
      </c>
      <c r="AL541" s="80">
        <f t="shared" si="165"/>
        <v>257.88333333333333</v>
      </c>
      <c r="AM541" s="79"/>
      <c r="AN541" s="322"/>
      <c r="AO541" s="79"/>
      <c r="AP541" s="322"/>
      <c r="AQ541" s="79"/>
      <c r="AR541" s="322"/>
      <c r="AS541" s="79"/>
      <c r="AT541" s="322"/>
      <c r="AU541" s="325">
        <f t="shared" si="166"/>
        <v>0</v>
      </c>
      <c r="AV541" s="90">
        <f t="shared" si="176"/>
        <v>0</v>
      </c>
      <c r="AW541" s="324">
        <f t="shared" si="167"/>
        <v>0</v>
      </c>
      <c r="AX541" s="80">
        <f t="shared" si="177"/>
        <v>0</v>
      </c>
      <c r="AY541" s="326">
        <f t="shared" si="168"/>
        <v>275.95888888888891</v>
      </c>
      <c r="AZ541" s="80">
        <f t="shared" si="169"/>
        <v>257.88333333333333</v>
      </c>
    </row>
    <row r="542" spans="1:52">
      <c r="A542" s="206" t="s">
        <v>254</v>
      </c>
      <c r="B542" s="212" t="s">
        <v>295</v>
      </c>
      <c r="C542" s="233">
        <v>220853</v>
      </c>
      <c r="D542" s="207">
        <v>13</v>
      </c>
      <c r="E542" s="162" t="s">
        <v>442</v>
      </c>
      <c r="F542" s="163" t="s">
        <v>442</v>
      </c>
      <c r="G542" s="79"/>
      <c r="H542" s="322"/>
      <c r="I542" s="79"/>
      <c r="J542" s="322"/>
      <c r="K542" s="79"/>
      <c r="L542" s="322"/>
      <c r="M542" s="79"/>
      <c r="N542" s="322"/>
      <c r="O542" s="323">
        <f t="shared" si="160"/>
        <v>0</v>
      </c>
      <c r="P542" s="638">
        <f t="shared" si="170"/>
        <v>0</v>
      </c>
      <c r="Q542" s="322"/>
      <c r="R542" s="90">
        <f t="shared" si="174"/>
        <v>0</v>
      </c>
      <c r="S542" s="324">
        <f t="shared" si="161"/>
        <v>0</v>
      </c>
      <c r="T542" s="638">
        <f t="shared" si="171"/>
        <v>0</v>
      </c>
      <c r="U542" s="322"/>
      <c r="V542" s="80">
        <f t="shared" si="175"/>
        <v>0</v>
      </c>
      <c r="W542" s="79"/>
      <c r="X542" s="322"/>
      <c r="Y542" s="79">
        <v>261510</v>
      </c>
      <c r="Z542" s="322">
        <v>256106</v>
      </c>
      <c r="AA542" s="79">
        <v>239366</v>
      </c>
      <c r="AB542" s="331">
        <v>227890</v>
      </c>
      <c r="AC542" s="79">
        <v>271940</v>
      </c>
      <c r="AD542" s="330">
        <v>244138</v>
      </c>
      <c r="AE542" s="323">
        <f t="shared" si="162"/>
        <v>772816</v>
      </c>
      <c r="AF542" s="638">
        <f t="shared" si="172"/>
        <v>0</v>
      </c>
      <c r="AG542" s="639" t="s">
        <v>949</v>
      </c>
      <c r="AH542" s="90">
        <f t="shared" si="163"/>
        <v>858.68444444444447</v>
      </c>
      <c r="AI542" s="80">
        <f t="shared" si="164"/>
        <v>728134</v>
      </c>
      <c r="AJ542" s="638">
        <f t="shared" si="173"/>
        <v>0</v>
      </c>
      <c r="AK542" s="639" t="s">
        <v>949</v>
      </c>
      <c r="AL542" s="80">
        <f t="shared" si="165"/>
        <v>809.03777777777782</v>
      </c>
      <c r="AM542" s="79"/>
      <c r="AN542" s="322"/>
      <c r="AO542" s="79"/>
      <c r="AP542" s="322"/>
      <c r="AQ542" s="79"/>
      <c r="AR542" s="322"/>
      <c r="AS542" s="79"/>
      <c r="AT542" s="322"/>
      <c r="AU542" s="325">
        <f t="shared" si="166"/>
        <v>0</v>
      </c>
      <c r="AV542" s="90">
        <f t="shared" si="176"/>
        <v>0</v>
      </c>
      <c r="AW542" s="324">
        <f t="shared" si="167"/>
        <v>0</v>
      </c>
      <c r="AX542" s="80">
        <f t="shared" si="177"/>
        <v>0</v>
      </c>
      <c r="AY542" s="326">
        <f t="shared" si="168"/>
        <v>858.68444444444447</v>
      </c>
      <c r="AZ542" s="80">
        <f t="shared" si="169"/>
        <v>809.03777777777782</v>
      </c>
    </row>
    <row r="543" spans="1:52">
      <c r="A543" s="206" t="s">
        <v>254</v>
      </c>
      <c r="B543" s="212" t="s">
        <v>296</v>
      </c>
      <c r="C543" s="233">
        <v>221050</v>
      </c>
      <c r="D543" s="207">
        <v>13</v>
      </c>
      <c r="E543" s="162" t="s">
        <v>442</v>
      </c>
      <c r="F543" s="163" t="s">
        <v>442</v>
      </c>
      <c r="G543" s="79"/>
      <c r="H543" s="322"/>
      <c r="I543" s="79"/>
      <c r="J543" s="322"/>
      <c r="K543" s="79"/>
      <c r="L543" s="322"/>
      <c r="M543" s="79"/>
      <c r="N543" s="322"/>
      <c r="O543" s="323">
        <f t="shared" si="160"/>
        <v>0</v>
      </c>
      <c r="P543" s="638">
        <f t="shared" si="170"/>
        <v>0</v>
      </c>
      <c r="Q543" s="322"/>
      <c r="R543" s="90">
        <f t="shared" si="174"/>
        <v>0</v>
      </c>
      <c r="S543" s="324">
        <f t="shared" si="161"/>
        <v>0</v>
      </c>
      <c r="T543" s="638">
        <f t="shared" si="171"/>
        <v>0</v>
      </c>
      <c r="U543" s="322"/>
      <c r="V543" s="80">
        <f t="shared" si="175"/>
        <v>0</v>
      </c>
      <c r="W543" s="79"/>
      <c r="X543" s="322"/>
      <c r="Y543" s="79">
        <v>191455</v>
      </c>
      <c r="Z543" s="322">
        <v>180931</v>
      </c>
      <c r="AA543" s="79">
        <v>181404</v>
      </c>
      <c r="AB543" s="331">
        <v>173966</v>
      </c>
      <c r="AC543" s="79">
        <v>186495</v>
      </c>
      <c r="AD543" s="330">
        <v>197528</v>
      </c>
      <c r="AE543" s="323">
        <f t="shared" si="162"/>
        <v>559354</v>
      </c>
      <c r="AF543" s="638">
        <f t="shared" si="172"/>
        <v>0</v>
      </c>
      <c r="AG543" s="639" t="s">
        <v>949</v>
      </c>
      <c r="AH543" s="90">
        <f t="shared" si="163"/>
        <v>621.5044444444444</v>
      </c>
      <c r="AI543" s="80">
        <f t="shared" si="164"/>
        <v>552425</v>
      </c>
      <c r="AJ543" s="638">
        <f t="shared" si="173"/>
        <v>0</v>
      </c>
      <c r="AK543" s="639" t="s">
        <v>949</v>
      </c>
      <c r="AL543" s="80">
        <f t="shared" si="165"/>
        <v>613.80555555555554</v>
      </c>
      <c r="AM543" s="79"/>
      <c r="AN543" s="322"/>
      <c r="AO543" s="79"/>
      <c r="AP543" s="322"/>
      <c r="AQ543" s="79"/>
      <c r="AR543" s="322"/>
      <c r="AS543" s="79"/>
      <c r="AT543" s="322"/>
      <c r="AU543" s="325">
        <f t="shared" si="166"/>
        <v>0</v>
      </c>
      <c r="AV543" s="90">
        <f t="shared" si="176"/>
        <v>0</v>
      </c>
      <c r="AW543" s="324">
        <f t="shared" si="167"/>
        <v>0</v>
      </c>
      <c r="AX543" s="80">
        <f t="shared" si="177"/>
        <v>0</v>
      </c>
      <c r="AY543" s="326">
        <f t="shared" si="168"/>
        <v>621.5044444444444</v>
      </c>
      <c r="AZ543" s="80">
        <f t="shared" si="169"/>
        <v>613.80555555555554</v>
      </c>
    </row>
    <row r="544" spans="1:52">
      <c r="A544" s="206" t="s">
        <v>254</v>
      </c>
      <c r="B544" s="212" t="s">
        <v>297</v>
      </c>
      <c r="C544" s="233">
        <v>221102</v>
      </c>
      <c r="D544" s="207">
        <v>13</v>
      </c>
      <c r="E544" s="162" t="s">
        <v>442</v>
      </c>
      <c r="F544" s="163" t="s">
        <v>442</v>
      </c>
      <c r="G544" s="79"/>
      <c r="H544" s="322"/>
      <c r="I544" s="79"/>
      <c r="J544" s="322"/>
      <c r="K544" s="79"/>
      <c r="L544" s="322"/>
      <c r="M544" s="79"/>
      <c r="N544" s="322"/>
      <c r="O544" s="323">
        <f t="shared" si="160"/>
        <v>0</v>
      </c>
      <c r="P544" s="638">
        <f t="shared" si="170"/>
        <v>0</v>
      </c>
      <c r="Q544" s="322"/>
      <c r="R544" s="90">
        <f t="shared" si="174"/>
        <v>0</v>
      </c>
      <c r="S544" s="324">
        <f t="shared" si="161"/>
        <v>0</v>
      </c>
      <c r="T544" s="638">
        <f t="shared" si="171"/>
        <v>0</v>
      </c>
      <c r="U544" s="322"/>
      <c r="V544" s="80">
        <f t="shared" si="175"/>
        <v>0</v>
      </c>
      <c r="W544" s="79"/>
      <c r="X544" s="322"/>
      <c r="Y544" s="79">
        <v>128851</v>
      </c>
      <c r="Z544" s="322">
        <v>130806</v>
      </c>
      <c r="AA544" s="79">
        <v>110515</v>
      </c>
      <c r="AB544" s="331">
        <v>132996</v>
      </c>
      <c r="AC544" s="79">
        <v>132772</v>
      </c>
      <c r="AD544" s="330">
        <v>137140</v>
      </c>
      <c r="AE544" s="323">
        <f t="shared" si="162"/>
        <v>372138</v>
      </c>
      <c r="AF544" s="638">
        <f t="shared" si="172"/>
        <v>0</v>
      </c>
      <c r="AG544" s="639" t="s">
        <v>949</v>
      </c>
      <c r="AH544" s="90">
        <f t="shared" si="163"/>
        <v>413.48666666666668</v>
      </c>
      <c r="AI544" s="80">
        <f t="shared" si="164"/>
        <v>400942</v>
      </c>
      <c r="AJ544" s="638">
        <f t="shared" si="173"/>
        <v>0</v>
      </c>
      <c r="AK544" s="639" t="s">
        <v>949</v>
      </c>
      <c r="AL544" s="80">
        <f t="shared" si="165"/>
        <v>445.49111111111114</v>
      </c>
      <c r="AM544" s="79"/>
      <c r="AN544" s="322"/>
      <c r="AO544" s="79"/>
      <c r="AP544" s="322"/>
      <c r="AQ544" s="79"/>
      <c r="AR544" s="322"/>
      <c r="AS544" s="79"/>
      <c r="AT544" s="322"/>
      <c r="AU544" s="325">
        <f t="shared" si="166"/>
        <v>0</v>
      </c>
      <c r="AV544" s="90">
        <f t="shared" si="176"/>
        <v>0</v>
      </c>
      <c r="AW544" s="324">
        <f t="shared" si="167"/>
        <v>0</v>
      </c>
      <c r="AX544" s="80">
        <f t="shared" si="177"/>
        <v>0</v>
      </c>
      <c r="AY544" s="326">
        <f t="shared" si="168"/>
        <v>413.48666666666668</v>
      </c>
      <c r="AZ544" s="80">
        <f t="shared" si="169"/>
        <v>445.49111111111114</v>
      </c>
    </row>
    <row r="545" spans="1:52">
      <c r="A545" s="206" t="s">
        <v>254</v>
      </c>
      <c r="B545" s="212" t="s">
        <v>298</v>
      </c>
      <c r="C545" s="233">
        <v>248925</v>
      </c>
      <c r="D545" s="209">
        <v>13</v>
      </c>
      <c r="E545" s="162" t="s">
        <v>442</v>
      </c>
      <c r="F545" s="163" t="s">
        <v>442</v>
      </c>
      <c r="G545" s="79"/>
      <c r="H545" s="322"/>
      <c r="I545" s="79"/>
      <c r="J545" s="322"/>
      <c r="K545" s="79"/>
      <c r="L545" s="322"/>
      <c r="M545" s="79"/>
      <c r="N545" s="322"/>
      <c r="O545" s="323">
        <f t="shared" si="160"/>
        <v>0</v>
      </c>
      <c r="P545" s="638">
        <f t="shared" si="170"/>
        <v>0</v>
      </c>
      <c r="Q545" s="322"/>
      <c r="R545" s="90">
        <f t="shared" si="174"/>
        <v>0</v>
      </c>
      <c r="S545" s="324">
        <f t="shared" si="161"/>
        <v>0</v>
      </c>
      <c r="T545" s="638">
        <f t="shared" si="171"/>
        <v>0</v>
      </c>
      <c r="U545" s="322"/>
      <c r="V545" s="80">
        <f t="shared" si="175"/>
        <v>0</v>
      </c>
      <c r="W545" s="79"/>
      <c r="X545" s="322"/>
      <c r="Y545" s="79">
        <v>199923</v>
      </c>
      <c r="Z545" s="322">
        <v>223707</v>
      </c>
      <c r="AA545" s="79">
        <v>173025</v>
      </c>
      <c r="AB545" s="331">
        <v>196070</v>
      </c>
      <c r="AC545" s="79">
        <v>201841</v>
      </c>
      <c r="AD545" s="330">
        <v>221870</v>
      </c>
      <c r="AE545" s="323">
        <f t="shared" si="162"/>
        <v>574789</v>
      </c>
      <c r="AF545" s="638">
        <f t="shared" si="172"/>
        <v>0</v>
      </c>
      <c r="AG545" s="639" t="s">
        <v>949</v>
      </c>
      <c r="AH545" s="90">
        <f t="shared" si="163"/>
        <v>638.65444444444449</v>
      </c>
      <c r="AI545" s="80">
        <f t="shared" si="164"/>
        <v>641647</v>
      </c>
      <c r="AJ545" s="638">
        <f t="shared" si="173"/>
        <v>0</v>
      </c>
      <c r="AK545" s="639" t="s">
        <v>949</v>
      </c>
      <c r="AL545" s="80">
        <f t="shared" si="165"/>
        <v>712.94111111111113</v>
      </c>
      <c r="AM545" s="79"/>
      <c r="AN545" s="322"/>
      <c r="AO545" s="79"/>
      <c r="AP545" s="322"/>
      <c r="AQ545" s="79"/>
      <c r="AR545" s="322"/>
      <c r="AS545" s="79"/>
      <c r="AT545" s="322"/>
      <c r="AU545" s="325">
        <f t="shared" si="166"/>
        <v>0</v>
      </c>
      <c r="AV545" s="90">
        <f t="shared" si="176"/>
        <v>0</v>
      </c>
      <c r="AW545" s="324">
        <f t="shared" si="167"/>
        <v>0</v>
      </c>
      <c r="AX545" s="80">
        <f t="shared" si="177"/>
        <v>0</v>
      </c>
      <c r="AY545" s="326">
        <f t="shared" si="168"/>
        <v>638.65444444444449</v>
      </c>
      <c r="AZ545" s="80">
        <f t="shared" si="169"/>
        <v>712.94111111111113</v>
      </c>
    </row>
    <row r="546" spans="1:52">
      <c r="A546" s="206" t="s">
        <v>254</v>
      </c>
      <c r="B546" s="212" t="s">
        <v>299</v>
      </c>
      <c r="C546" s="233">
        <v>221236</v>
      </c>
      <c r="D546" s="209">
        <v>13</v>
      </c>
      <c r="E546" s="162" t="s">
        <v>442</v>
      </c>
      <c r="F546" s="163" t="s">
        <v>442</v>
      </c>
      <c r="G546" s="79"/>
      <c r="H546" s="322"/>
      <c r="I546" s="79"/>
      <c r="J546" s="322"/>
      <c r="K546" s="79"/>
      <c r="L546" s="322"/>
      <c r="M546" s="79"/>
      <c r="N546" s="322"/>
      <c r="O546" s="323">
        <f t="shared" si="160"/>
        <v>0</v>
      </c>
      <c r="P546" s="638">
        <f t="shared" si="170"/>
        <v>0</v>
      </c>
      <c r="Q546" s="322"/>
      <c r="R546" s="90">
        <f t="shared" si="174"/>
        <v>0</v>
      </c>
      <c r="S546" s="324">
        <f t="shared" si="161"/>
        <v>0</v>
      </c>
      <c r="T546" s="638">
        <f t="shared" si="171"/>
        <v>0</v>
      </c>
      <c r="U546" s="322"/>
      <c r="V546" s="80">
        <f t="shared" si="175"/>
        <v>0</v>
      </c>
      <c r="W546" s="79"/>
      <c r="X546" s="322"/>
      <c r="Y546" s="79">
        <v>61928</v>
      </c>
      <c r="Z546" s="322">
        <v>64564</v>
      </c>
      <c r="AA546" s="79">
        <v>49861</v>
      </c>
      <c r="AB546" s="331">
        <v>52782</v>
      </c>
      <c r="AC546" s="79">
        <v>76985</v>
      </c>
      <c r="AD546" s="330">
        <v>84404</v>
      </c>
      <c r="AE546" s="323">
        <f t="shared" si="162"/>
        <v>188774</v>
      </c>
      <c r="AF546" s="638">
        <f t="shared" si="172"/>
        <v>0</v>
      </c>
      <c r="AG546" s="639" t="s">
        <v>949</v>
      </c>
      <c r="AH546" s="90">
        <f t="shared" si="163"/>
        <v>209.7488888888889</v>
      </c>
      <c r="AI546" s="80">
        <f t="shared" si="164"/>
        <v>201750</v>
      </c>
      <c r="AJ546" s="638">
        <f t="shared" si="173"/>
        <v>0</v>
      </c>
      <c r="AK546" s="639" t="s">
        <v>949</v>
      </c>
      <c r="AL546" s="80">
        <f t="shared" si="165"/>
        <v>224.16666666666666</v>
      </c>
      <c r="AM546" s="79"/>
      <c r="AN546" s="322"/>
      <c r="AO546" s="79"/>
      <c r="AP546" s="322"/>
      <c r="AQ546" s="79"/>
      <c r="AR546" s="322"/>
      <c r="AS546" s="79"/>
      <c r="AT546" s="322"/>
      <c r="AU546" s="325">
        <f t="shared" si="166"/>
        <v>0</v>
      </c>
      <c r="AV546" s="90">
        <f t="shared" si="176"/>
        <v>0</v>
      </c>
      <c r="AW546" s="324">
        <f t="shared" si="167"/>
        <v>0</v>
      </c>
      <c r="AX546" s="80">
        <f t="shared" si="177"/>
        <v>0</v>
      </c>
      <c r="AY546" s="326">
        <f t="shared" si="168"/>
        <v>209.7488888888889</v>
      </c>
      <c r="AZ546" s="80">
        <f t="shared" si="169"/>
        <v>224.16666666666666</v>
      </c>
    </row>
    <row r="547" spans="1:52">
      <c r="A547" s="206" t="s">
        <v>254</v>
      </c>
      <c r="B547" s="212" t="s">
        <v>300</v>
      </c>
      <c r="C547" s="233">
        <v>221582</v>
      </c>
      <c r="D547" s="209">
        <v>13</v>
      </c>
      <c r="E547" s="162" t="s">
        <v>442</v>
      </c>
      <c r="F547" s="163" t="s">
        <v>442</v>
      </c>
      <c r="G547" s="79"/>
      <c r="H547" s="322"/>
      <c r="I547" s="79"/>
      <c r="J547" s="322"/>
      <c r="K547" s="79"/>
      <c r="L547" s="322"/>
      <c r="M547" s="79"/>
      <c r="N547" s="322"/>
      <c r="O547" s="323">
        <f t="shared" si="160"/>
        <v>0</v>
      </c>
      <c r="P547" s="638">
        <f t="shared" si="170"/>
        <v>0</v>
      </c>
      <c r="Q547" s="322"/>
      <c r="R547" s="90">
        <f t="shared" si="174"/>
        <v>0</v>
      </c>
      <c r="S547" s="324">
        <f t="shared" si="161"/>
        <v>0</v>
      </c>
      <c r="T547" s="638">
        <f t="shared" si="171"/>
        <v>0</v>
      </c>
      <c r="U547" s="322"/>
      <c r="V547" s="80">
        <f t="shared" si="175"/>
        <v>0</v>
      </c>
      <c r="W547" s="79"/>
      <c r="X547" s="322"/>
      <c r="Y547" s="79">
        <v>79586</v>
      </c>
      <c r="Z547" s="322">
        <v>85794</v>
      </c>
      <c r="AA547" s="79">
        <v>56003</v>
      </c>
      <c r="AB547" s="331">
        <v>56031</v>
      </c>
      <c r="AC547" s="79">
        <v>98425</v>
      </c>
      <c r="AD547" s="330">
        <v>97416</v>
      </c>
      <c r="AE547" s="323">
        <f t="shared" si="162"/>
        <v>234014</v>
      </c>
      <c r="AF547" s="638">
        <f t="shared" si="172"/>
        <v>0</v>
      </c>
      <c r="AG547" s="639" t="s">
        <v>949</v>
      </c>
      <c r="AH547" s="90">
        <f t="shared" si="163"/>
        <v>260.01555555555558</v>
      </c>
      <c r="AI547" s="80">
        <f t="shared" si="164"/>
        <v>239241</v>
      </c>
      <c r="AJ547" s="638">
        <f t="shared" si="173"/>
        <v>0</v>
      </c>
      <c r="AK547" s="639" t="s">
        <v>949</v>
      </c>
      <c r="AL547" s="80">
        <f t="shared" si="165"/>
        <v>265.82333333333332</v>
      </c>
      <c r="AM547" s="79"/>
      <c r="AN547" s="322"/>
      <c r="AO547" s="79"/>
      <c r="AP547" s="322"/>
      <c r="AQ547" s="79"/>
      <c r="AR547" s="322"/>
      <c r="AS547" s="79"/>
      <c r="AT547" s="322"/>
      <c r="AU547" s="325">
        <f t="shared" si="166"/>
        <v>0</v>
      </c>
      <c r="AV547" s="90">
        <f t="shared" si="176"/>
        <v>0</v>
      </c>
      <c r="AW547" s="324">
        <f t="shared" si="167"/>
        <v>0</v>
      </c>
      <c r="AX547" s="80">
        <f t="shared" si="177"/>
        <v>0</v>
      </c>
      <c r="AY547" s="326">
        <f t="shared" si="168"/>
        <v>260.01555555555558</v>
      </c>
      <c r="AZ547" s="80">
        <f t="shared" si="169"/>
        <v>265.82333333333332</v>
      </c>
    </row>
    <row r="548" spans="1:52">
      <c r="A548" s="206" t="s">
        <v>254</v>
      </c>
      <c r="B548" s="212" t="s">
        <v>301</v>
      </c>
      <c r="C548" s="233">
        <v>221281</v>
      </c>
      <c r="D548" s="209">
        <v>13</v>
      </c>
      <c r="E548" s="162" t="s">
        <v>442</v>
      </c>
      <c r="F548" s="163" t="s">
        <v>442</v>
      </c>
      <c r="G548" s="79"/>
      <c r="H548" s="322"/>
      <c r="I548" s="79"/>
      <c r="J548" s="322"/>
      <c r="K548" s="79"/>
      <c r="L548" s="322"/>
      <c r="M548" s="79"/>
      <c r="N548" s="322"/>
      <c r="O548" s="323">
        <f t="shared" si="160"/>
        <v>0</v>
      </c>
      <c r="P548" s="638">
        <f t="shared" si="170"/>
        <v>0</v>
      </c>
      <c r="Q548" s="322"/>
      <c r="R548" s="90">
        <f t="shared" si="174"/>
        <v>0</v>
      </c>
      <c r="S548" s="324">
        <f t="shared" si="161"/>
        <v>0</v>
      </c>
      <c r="T548" s="638">
        <f t="shared" si="171"/>
        <v>0</v>
      </c>
      <c r="U548" s="322"/>
      <c r="V548" s="80">
        <f t="shared" si="175"/>
        <v>0</v>
      </c>
      <c r="W548" s="79"/>
      <c r="X548" s="322"/>
      <c r="Y548" s="79">
        <v>115295</v>
      </c>
      <c r="Z548" s="322">
        <v>106589</v>
      </c>
      <c r="AA548" s="79">
        <v>93214</v>
      </c>
      <c r="AB548" s="331">
        <v>106050</v>
      </c>
      <c r="AC548" s="79">
        <v>117778</v>
      </c>
      <c r="AD548" s="330">
        <v>119050</v>
      </c>
      <c r="AE548" s="323">
        <f t="shared" si="162"/>
        <v>326287</v>
      </c>
      <c r="AF548" s="638">
        <f t="shared" si="172"/>
        <v>0</v>
      </c>
      <c r="AG548" s="639" t="s">
        <v>949</v>
      </c>
      <c r="AH548" s="90">
        <f t="shared" si="163"/>
        <v>362.54111111111109</v>
      </c>
      <c r="AI548" s="80">
        <f t="shared" si="164"/>
        <v>331689</v>
      </c>
      <c r="AJ548" s="638">
        <f t="shared" si="173"/>
        <v>0</v>
      </c>
      <c r="AK548" s="639" t="s">
        <v>949</v>
      </c>
      <c r="AL548" s="80">
        <f t="shared" si="165"/>
        <v>368.54333333333335</v>
      </c>
      <c r="AM548" s="79"/>
      <c r="AN548" s="322"/>
      <c r="AO548" s="79"/>
      <c r="AP548" s="322"/>
      <c r="AQ548" s="79"/>
      <c r="AR548" s="322"/>
      <c r="AS548" s="79"/>
      <c r="AT548" s="322"/>
      <c r="AU548" s="325">
        <f t="shared" si="166"/>
        <v>0</v>
      </c>
      <c r="AV548" s="90">
        <f t="shared" si="176"/>
        <v>0</v>
      </c>
      <c r="AW548" s="324">
        <f t="shared" si="167"/>
        <v>0</v>
      </c>
      <c r="AX548" s="80">
        <f t="shared" si="177"/>
        <v>0</v>
      </c>
      <c r="AY548" s="326">
        <f t="shared" si="168"/>
        <v>362.54111111111109</v>
      </c>
      <c r="AZ548" s="80">
        <f t="shared" si="169"/>
        <v>368.54333333333335</v>
      </c>
    </row>
    <row r="549" spans="1:52">
      <c r="A549" s="206" t="s">
        <v>254</v>
      </c>
      <c r="B549" s="212" t="s">
        <v>302</v>
      </c>
      <c r="C549" s="233">
        <v>221333</v>
      </c>
      <c r="D549" s="209">
        <v>13</v>
      </c>
      <c r="E549" s="162" t="s">
        <v>442</v>
      </c>
      <c r="F549" s="163" t="s">
        <v>442</v>
      </c>
      <c r="G549" s="79"/>
      <c r="H549" s="322"/>
      <c r="I549" s="79"/>
      <c r="J549" s="322"/>
      <c r="K549" s="79"/>
      <c r="L549" s="322"/>
      <c r="M549" s="79"/>
      <c r="N549" s="322"/>
      <c r="O549" s="323">
        <f t="shared" si="160"/>
        <v>0</v>
      </c>
      <c r="P549" s="638">
        <f t="shared" si="170"/>
        <v>0</v>
      </c>
      <c r="Q549" s="322"/>
      <c r="R549" s="90">
        <f t="shared" si="174"/>
        <v>0</v>
      </c>
      <c r="S549" s="324">
        <f t="shared" si="161"/>
        <v>0</v>
      </c>
      <c r="T549" s="638">
        <f t="shared" si="171"/>
        <v>0</v>
      </c>
      <c r="U549" s="322"/>
      <c r="V549" s="80">
        <f t="shared" si="175"/>
        <v>0</v>
      </c>
      <c r="W549" s="79"/>
      <c r="X549" s="322"/>
      <c r="Y549" s="79">
        <v>109297</v>
      </c>
      <c r="Z549" s="322">
        <v>96821</v>
      </c>
      <c r="AA549" s="79">
        <v>69436</v>
      </c>
      <c r="AB549" s="331">
        <v>64269</v>
      </c>
      <c r="AC549" s="79">
        <v>96698</v>
      </c>
      <c r="AD549" s="330">
        <v>108692</v>
      </c>
      <c r="AE549" s="323">
        <f t="shared" si="162"/>
        <v>275431</v>
      </c>
      <c r="AF549" s="638">
        <f t="shared" si="172"/>
        <v>0</v>
      </c>
      <c r="AG549" s="639" t="s">
        <v>949</v>
      </c>
      <c r="AH549" s="90">
        <f t="shared" si="163"/>
        <v>306.03444444444443</v>
      </c>
      <c r="AI549" s="80">
        <f t="shared" si="164"/>
        <v>269782</v>
      </c>
      <c r="AJ549" s="638">
        <f t="shared" si="173"/>
        <v>0</v>
      </c>
      <c r="AK549" s="639" t="s">
        <v>949</v>
      </c>
      <c r="AL549" s="80">
        <f t="shared" si="165"/>
        <v>299.75777777777779</v>
      </c>
      <c r="AM549" s="79"/>
      <c r="AN549" s="322"/>
      <c r="AO549" s="79"/>
      <c r="AP549" s="322"/>
      <c r="AQ549" s="79"/>
      <c r="AR549" s="322"/>
      <c r="AS549" s="79"/>
      <c r="AT549" s="322"/>
      <c r="AU549" s="325">
        <f t="shared" si="166"/>
        <v>0</v>
      </c>
      <c r="AV549" s="90">
        <f t="shared" si="176"/>
        <v>0</v>
      </c>
      <c r="AW549" s="324">
        <f t="shared" si="167"/>
        <v>0</v>
      </c>
      <c r="AX549" s="80">
        <f t="shared" si="177"/>
        <v>0</v>
      </c>
      <c r="AY549" s="326">
        <f t="shared" si="168"/>
        <v>306.03444444444443</v>
      </c>
      <c r="AZ549" s="80">
        <f t="shared" si="169"/>
        <v>299.75777777777779</v>
      </c>
    </row>
    <row r="550" spans="1:52">
      <c r="A550" s="206" t="s">
        <v>254</v>
      </c>
      <c r="B550" s="212" t="s">
        <v>303</v>
      </c>
      <c r="C550" s="233">
        <v>221388</v>
      </c>
      <c r="D550" s="209">
        <v>13</v>
      </c>
      <c r="E550" s="162" t="s">
        <v>442</v>
      </c>
      <c r="F550" s="163" t="s">
        <v>442</v>
      </c>
      <c r="G550" s="79"/>
      <c r="H550" s="322"/>
      <c r="I550" s="79"/>
      <c r="J550" s="322"/>
      <c r="K550" s="79"/>
      <c r="L550" s="322"/>
      <c r="M550" s="79"/>
      <c r="N550" s="322"/>
      <c r="O550" s="323">
        <f t="shared" si="160"/>
        <v>0</v>
      </c>
      <c r="P550" s="638">
        <f t="shared" si="170"/>
        <v>0</v>
      </c>
      <c r="Q550" s="322"/>
      <c r="R550" s="90">
        <f t="shared" si="174"/>
        <v>0</v>
      </c>
      <c r="S550" s="324">
        <f t="shared" si="161"/>
        <v>0</v>
      </c>
      <c r="T550" s="638">
        <f t="shared" si="171"/>
        <v>0</v>
      </c>
      <c r="U550" s="322"/>
      <c r="V550" s="80">
        <f t="shared" si="175"/>
        <v>0</v>
      </c>
      <c r="W550" s="79"/>
      <c r="X550" s="322"/>
      <c r="Y550" s="79">
        <v>58757</v>
      </c>
      <c r="Z550" s="322">
        <v>46566</v>
      </c>
      <c r="AA550" s="79">
        <v>46780</v>
      </c>
      <c r="AB550" s="331">
        <v>51498</v>
      </c>
      <c r="AC550" s="79">
        <v>44238</v>
      </c>
      <c r="AD550" s="330">
        <v>61821</v>
      </c>
      <c r="AE550" s="323">
        <f t="shared" si="162"/>
        <v>149775</v>
      </c>
      <c r="AF550" s="638">
        <f t="shared" si="172"/>
        <v>0</v>
      </c>
      <c r="AG550" s="639" t="s">
        <v>949</v>
      </c>
      <c r="AH550" s="90">
        <f t="shared" si="163"/>
        <v>166.41666666666666</v>
      </c>
      <c r="AI550" s="80">
        <f t="shared" si="164"/>
        <v>159885</v>
      </c>
      <c r="AJ550" s="638">
        <f t="shared" si="173"/>
        <v>0</v>
      </c>
      <c r="AK550" s="639" t="s">
        <v>949</v>
      </c>
      <c r="AL550" s="80">
        <f t="shared" si="165"/>
        <v>177.65</v>
      </c>
      <c r="AM550" s="79"/>
      <c r="AN550" s="322"/>
      <c r="AO550" s="79"/>
      <c r="AP550" s="322"/>
      <c r="AQ550" s="79"/>
      <c r="AR550" s="322"/>
      <c r="AS550" s="79"/>
      <c r="AT550" s="322"/>
      <c r="AU550" s="325">
        <f t="shared" si="166"/>
        <v>0</v>
      </c>
      <c r="AV550" s="90">
        <f t="shared" si="176"/>
        <v>0</v>
      </c>
      <c r="AW550" s="324">
        <f t="shared" si="167"/>
        <v>0</v>
      </c>
      <c r="AX550" s="80">
        <f t="shared" si="177"/>
        <v>0</v>
      </c>
      <c r="AY550" s="326">
        <f t="shared" si="168"/>
        <v>166.41666666666666</v>
      </c>
      <c r="AZ550" s="80">
        <f t="shared" si="169"/>
        <v>177.65</v>
      </c>
    </row>
    <row r="551" spans="1:52">
      <c r="A551" s="206" t="s">
        <v>254</v>
      </c>
      <c r="B551" s="212" t="s">
        <v>304</v>
      </c>
      <c r="C551" s="233">
        <v>221494</v>
      </c>
      <c r="D551" s="209">
        <v>13</v>
      </c>
      <c r="E551" s="162" t="s">
        <v>442</v>
      </c>
      <c r="F551" s="163" t="s">
        <v>442</v>
      </c>
      <c r="G551" s="79"/>
      <c r="H551" s="322"/>
      <c r="I551" s="79"/>
      <c r="J551" s="322"/>
      <c r="K551" s="79"/>
      <c r="L551" s="322"/>
      <c r="M551" s="79"/>
      <c r="N551" s="322"/>
      <c r="O551" s="323">
        <f t="shared" si="160"/>
        <v>0</v>
      </c>
      <c r="P551" s="638">
        <f t="shared" si="170"/>
        <v>0</v>
      </c>
      <c r="Q551" s="322"/>
      <c r="R551" s="90">
        <f t="shared" si="174"/>
        <v>0</v>
      </c>
      <c r="S551" s="324">
        <f t="shared" si="161"/>
        <v>0</v>
      </c>
      <c r="T551" s="638">
        <f t="shared" si="171"/>
        <v>0</v>
      </c>
      <c r="U551" s="322"/>
      <c r="V551" s="80">
        <f t="shared" si="175"/>
        <v>0</v>
      </c>
      <c r="W551" s="79"/>
      <c r="X551" s="322"/>
      <c r="Y551" s="79">
        <v>148199</v>
      </c>
      <c r="Z551" s="322">
        <v>152767</v>
      </c>
      <c r="AA551" s="79">
        <v>137411</v>
      </c>
      <c r="AB551" s="331">
        <v>139757</v>
      </c>
      <c r="AC551" s="79">
        <v>169204</v>
      </c>
      <c r="AD551" s="330">
        <v>172706</v>
      </c>
      <c r="AE551" s="323">
        <f t="shared" si="162"/>
        <v>454814</v>
      </c>
      <c r="AF551" s="638">
        <f t="shared" si="172"/>
        <v>0</v>
      </c>
      <c r="AG551" s="639" t="s">
        <v>949</v>
      </c>
      <c r="AH551" s="90">
        <f t="shared" si="163"/>
        <v>505.34888888888889</v>
      </c>
      <c r="AI551" s="80">
        <f t="shared" si="164"/>
        <v>465230</v>
      </c>
      <c r="AJ551" s="638">
        <f t="shared" si="173"/>
        <v>0</v>
      </c>
      <c r="AK551" s="639" t="s">
        <v>949</v>
      </c>
      <c r="AL551" s="80">
        <f t="shared" si="165"/>
        <v>516.92222222222222</v>
      </c>
      <c r="AM551" s="79"/>
      <c r="AN551" s="322"/>
      <c r="AO551" s="79"/>
      <c r="AP551" s="322"/>
      <c r="AQ551" s="79"/>
      <c r="AR551" s="322"/>
      <c r="AS551" s="79"/>
      <c r="AT551" s="322"/>
      <c r="AU551" s="325">
        <f t="shared" si="166"/>
        <v>0</v>
      </c>
      <c r="AV551" s="90">
        <f t="shared" si="176"/>
        <v>0</v>
      </c>
      <c r="AW551" s="324">
        <f t="shared" si="167"/>
        <v>0</v>
      </c>
      <c r="AX551" s="80">
        <f t="shared" si="177"/>
        <v>0</v>
      </c>
      <c r="AY551" s="326">
        <f t="shared" si="168"/>
        <v>505.34888888888889</v>
      </c>
      <c r="AZ551" s="80">
        <f t="shared" si="169"/>
        <v>516.92222222222222</v>
      </c>
    </row>
    <row r="552" spans="1:52">
      <c r="A552" s="206" t="s">
        <v>254</v>
      </c>
      <c r="B552" s="212" t="s">
        <v>305</v>
      </c>
      <c r="C552" s="233">
        <v>221634</v>
      </c>
      <c r="D552" s="209">
        <v>13</v>
      </c>
      <c r="E552" s="162" t="s">
        <v>442</v>
      </c>
      <c r="F552" s="163" t="s">
        <v>442</v>
      </c>
      <c r="G552" s="79"/>
      <c r="H552" s="322"/>
      <c r="I552" s="79"/>
      <c r="J552" s="322"/>
      <c r="K552" s="79"/>
      <c r="L552" s="322"/>
      <c r="M552" s="79"/>
      <c r="N552" s="322"/>
      <c r="O552" s="323">
        <f t="shared" si="160"/>
        <v>0</v>
      </c>
      <c r="P552" s="638">
        <f t="shared" si="170"/>
        <v>0</v>
      </c>
      <c r="Q552" s="322"/>
      <c r="R552" s="90">
        <f t="shared" si="174"/>
        <v>0</v>
      </c>
      <c r="S552" s="324">
        <f t="shared" si="161"/>
        <v>0</v>
      </c>
      <c r="T552" s="638">
        <f t="shared" si="171"/>
        <v>0</v>
      </c>
      <c r="U552" s="322"/>
      <c r="V552" s="80">
        <f t="shared" si="175"/>
        <v>0</v>
      </c>
      <c r="W552" s="79"/>
      <c r="X552" s="322"/>
      <c r="Y552" s="79">
        <v>53071</v>
      </c>
      <c r="Z552" s="322">
        <v>53107</v>
      </c>
      <c r="AA552" s="79">
        <v>46455</v>
      </c>
      <c r="AB552" s="331">
        <v>53371</v>
      </c>
      <c r="AC552" s="79">
        <v>58662</v>
      </c>
      <c r="AD552" s="332">
        <v>60776</v>
      </c>
      <c r="AE552" s="323">
        <f t="shared" si="162"/>
        <v>158188</v>
      </c>
      <c r="AF552" s="638">
        <f t="shared" si="172"/>
        <v>0</v>
      </c>
      <c r="AG552" s="639" t="s">
        <v>949</v>
      </c>
      <c r="AH552" s="90">
        <f t="shared" si="163"/>
        <v>175.76444444444445</v>
      </c>
      <c r="AI552" s="80">
        <f t="shared" si="164"/>
        <v>167254</v>
      </c>
      <c r="AJ552" s="638">
        <f t="shared" si="173"/>
        <v>0</v>
      </c>
      <c r="AK552" s="639" t="s">
        <v>949</v>
      </c>
      <c r="AL552" s="80">
        <f t="shared" si="165"/>
        <v>185.83777777777777</v>
      </c>
      <c r="AM552" s="79"/>
      <c r="AN552" s="322"/>
      <c r="AO552" s="79"/>
      <c r="AP552" s="322"/>
      <c r="AQ552" s="79"/>
      <c r="AR552" s="322"/>
      <c r="AS552" s="79"/>
      <c r="AT552" s="322"/>
      <c r="AU552" s="325">
        <f t="shared" si="166"/>
        <v>0</v>
      </c>
      <c r="AV552" s="90">
        <f t="shared" si="176"/>
        <v>0</v>
      </c>
      <c r="AW552" s="324">
        <f t="shared" si="167"/>
        <v>0</v>
      </c>
      <c r="AX552" s="80">
        <f t="shared" si="177"/>
        <v>0</v>
      </c>
      <c r="AY552" s="326">
        <f t="shared" si="168"/>
        <v>175.76444444444445</v>
      </c>
      <c r="AZ552" s="80">
        <f t="shared" si="169"/>
        <v>185.83777777777777</v>
      </c>
    </row>
    <row r="553" spans="1:52">
      <c r="A553" s="170" t="s">
        <v>306</v>
      </c>
      <c r="B553" s="170" t="s">
        <v>307</v>
      </c>
      <c r="C553" s="229">
        <v>228723</v>
      </c>
      <c r="D553" s="165">
        <v>1</v>
      </c>
      <c r="E553" s="162" t="s">
        <v>442</v>
      </c>
      <c r="F553" s="163" t="s">
        <v>442</v>
      </c>
      <c r="G553" s="79"/>
      <c r="H553" s="322"/>
      <c r="I553" s="79">
        <v>451055</v>
      </c>
      <c r="J553" s="322">
        <v>465351</v>
      </c>
      <c r="K553" s="79">
        <v>75237</v>
      </c>
      <c r="L553" s="322">
        <v>80477</v>
      </c>
      <c r="M553" s="79">
        <v>501331</v>
      </c>
      <c r="N553" s="322">
        <v>512032</v>
      </c>
      <c r="O553" s="323">
        <f t="shared" si="160"/>
        <v>1027623</v>
      </c>
      <c r="P553" s="638">
        <f t="shared" si="170"/>
        <v>1027623</v>
      </c>
      <c r="Q553" s="322">
        <v>0</v>
      </c>
      <c r="R553" s="90">
        <f t="shared" si="174"/>
        <v>34254.1</v>
      </c>
      <c r="S553" s="324">
        <f t="shared" si="161"/>
        <v>1057860</v>
      </c>
      <c r="T553" s="638">
        <f t="shared" si="171"/>
        <v>1057860</v>
      </c>
      <c r="U553" s="322">
        <v>0</v>
      </c>
      <c r="V553" s="80">
        <f t="shared" si="175"/>
        <v>35262</v>
      </c>
      <c r="W553" s="79"/>
      <c r="X553" s="322"/>
      <c r="Y553" s="79"/>
      <c r="Z553" s="322"/>
      <c r="AA553" s="79"/>
      <c r="AB553" s="322"/>
      <c r="AC553" s="79"/>
      <c r="AD553" s="322"/>
      <c r="AE553" s="323">
        <f t="shared" si="162"/>
        <v>0</v>
      </c>
      <c r="AF553" s="638">
        <f t="shared" si="172"/>
        <v>0</v>
      </c>
      <c r="AG553" s="322"/>
      <c r="AH553" s="90">
        <f t="shared" si="163"/>
        <v>0</v>
      </c>
      <c r="AI553" s="80">
        <f t="shared" si="164"/>
        <v>0</v>
      </c>
      <c r="AJ553" s="638">
        <f t="shared" si="173"/>
        <v>0</v>
      </c>
      <c r="AK553" s="322"/>
      <c r="AL553" s="80">
        <f t="shared" si="165"/>
        <v>0</v>
      </c>
      <c r="AM553" s="79"/>
      <c r="AN553" s="322"/>
      <c r="AO553" s="79">
        <v>63211</v>
      </c>
      <c r="AP553" s="322">
        <v>65539</v>
      </c>
      <c r="AQ553" s="79">
        <v>25662</v>
      </c>
      <c r="AR553" s="322">
        <v>27780</v>
      </c>
      <c r="AS553" s="79">
        <v>70830</v>
      </c>
      <c r="AT553" s="322">
        <v>74606</v>
      </c>
      <c r="AU553" s="325">
        <f t="shared" si="166"/>
        <v>159703</v>
      </c>
      <c r="AV553" s="90">
        <f t="shared" si="176"/>
        <v>6654.291666666667</v>
      </c>
      <c r="AW553" s="324">
        <f t="shared" si="167"/>
        <v>167925</v>
      </c>
      <c r="AX553" s="80">
        <f t="shared" si="177"/>
        <v>6996.875</v>
      </c>
      <c r="AY553" s="326">
        <f t="shared" si="168"/>
        <v>40908.391666666663</v>
      </c>
      <c r="AZ553" s="80">
        <f t="shared" si="169"/>
        <v>42258.875</v>
      </c>
    </row>
    <row r="554" spans="1:52">
      <c r="A554" s="170" t="s">
        <v>306</v>
      </c>
      <c r="B554" s="170" t="s">
        <v>308</v>
      </c>
      <c r="C554" s="229">
        <v>229115</v>
      </c>
      <c r="D554" s="165">
        <v>1</v>
      </c>
      <c r="E554" s="162" t="s">
        <v>442</v>
      </c>
      <c r="F554" s="163" t="s">
        <v>442</v>
      </c>
      <c r="G554" s="79"/>
      <c r="H554" s="322"/>
      <c r="I554" s="79">
        <v>280878</v>
      </c>
      <c r="J554" s="322">
        <v>282456</v>
      </c>
      <c r="K554" s="79">
        <v>55732</v>
      </c>
      <c r="L554" s="322">
        <v>54233</v>
      </c>
      <c r="M554" s="79">
        <v>313056</v>
      </c>
      <c r="N554" s="322">
        <v>313686</v>
      </c>
      <c r="O554" s="323">
        <f t="shared" si="160"/>
        <v>649666</v>
      </c>
      <c r="P554" s="638">
        <f t="shared" si="170"/>
        <v>649666</v>
      </c>
      <c r="Q554" s="322">
        <v>0</v>
      </c>
      <c r="R554" s="90">
        <f t="shared" si="174"/>
        <v>21655.533333333333</v>
      </c>
      <c r="S554" s="324">
        <f t="shared" si="161"/>
        <v>650375</v>
      </c>
      <c r="T554" s="638">
        <f t="shared" si="171"/>
        <v>650375</v>
      </c>
      <c r="U554" s="322">
        <v>0</v>
      </c>
      <c r="V554" s="80">
        <f t="shared" si="175"/>
        <v>21679.166666666668</v>
      </c>
      <c r="W554" s="79"/>
      <c r="X554" s="322"/>
      <c r="Y554" s="79"/>
      <c r="Z554" s="322"/>
      <c r="AA554" s="79"/>
      <c r="AB554" s="322"/>
      <c r="AC554" s="79"/>
      <c r="AD554" s="322"/>
      <c r="AE554" s="323">
        <f t="shared" si="162"/>
        <v>0</v>
      </c>
      <c r="AF554" s="638">
        <f t="shared" si="172"/>
        <v>0</v>
      </c>
      <c r="AG554" s="322"/>
      <c r="AH554" s="90">
        <f t="shared" si="163"/>
        <v>0</v>
      </c>
      <c r="AI554" s="80">
        <f t="shared" si="164"/>
        <v>0</v>
      </c>
      <c r="AJ554" s="638">
        <f t="shared" si="173"/>
        <v>0</v>
      </c>
      <c r="AK554" s="322"/>
      <c r="AL554" s="80">
        <f t="shared" si="165"/>
        <v>0</v>
      </c>
      <c r="AM554" s="79"/>
      <c r="AN554" s="322"/>
      <c r="AO554" s="79">
        <v>42528</v>
      </c>
      <c r="AP554" s="322">
        <v>42758</v>
      </c>
      <c r="AQ554" s="79">
        <v>17927</v>
      </c>
      <c r="AR554" s="322">
        <v>18097</v>
      </c>
      <c r="AS554" s="79">
        <v>44560</v>
      </c>
      <c r="AT554" s="322">
        <v>44925</v>
      </c>
      <c r="AU554" s="325">
        <f t="shared" si="166"/>
        <v>105015</v>
      </c>
      <c r="AV554" s="90">
        <f t="shared" si="176"/>
        <v>4375.625</v>
      </c>
      <c r="AW554" s="324">
        <f t="shared" si="167"/>
        <v>105780</v>
      </c>
      <c r="AX554" s="80">
        <f t="shared" si="177"/>
        <v>4407.5</v>
      </c>
      <c r="AY554" s="326">
        <f t="shared" si="168"/>
        <v>26031.158333333333</v>
      </c>
      <c r="AZ554" s="80">
        <f t="shared" si="169"/>
        <v>26086.666666666668</v>
      </c>
    </row>
    <row r="555" spans="1:52">
      <c r="A555" s="170" t="s">
        <v>306</v>
      </c>
      <c r="B555" s="170" t="s">
        <v>309</v>
      </c>
      <c r="C555" s="229">
        <v>225511</v>
      </c>
      <c r="D555" s="165">
        <v>1</v>
      </c>
      <c r="E555" s="162" t="s">
        <v>442</v>
      </c>
      <c r="F555" s="163" t="s">
        <v>442</v>
      </c>
      <c r="G555" s="79"/>
      <c r="H555" s="322"/>
      <c r="I555" s="79">
        <v>293884</v>
      </c>
      <c r="J555" s="322">
        <v>297732</v>
      </c>
      <c r="K555" s="79">
        <v>54954</v>
      </c>
      <c r="L555" s="322">
        <v>57700</v>
      </c>
      <c r="M555" s="79">
        <v>319708</v>
      </c>
      <c r="N555" s="322">
        <v>334757</v>
      </c>
      <c r="O555" s="323">
        <f t="shared" si="160"/>
        <v>668546</v>
      </c>
      <c r="P555" s="638">
        <f t="shared" si="170"/>
        <v>668546</v>
      </c>
      <c r="Q555" s="322">
        <v>19</v>
      </c>
      <c r="R555" s="90">
        <f t="shared" si="174"/>
        <v>22284.866666666665</v>
      </c>
      <c r="S555" s="324">
        <f t="shared" si="161"/>
        <v>690189</v>
      </c>
      <c r="T555" s="638">
        <f t="shared" si="171"/>
        <v>690189</v>
      </c>
      <c r="U555" s="322">
        <v>0</v>
      </c>
      <c r="V555" s="80">
        <f t="shared" si="175"/>
        <v>23006.3</v>
      </c>
      <c r="W555" s="79"/>
      <c r="X555" s="322"/>
      <c r="Y555" s="79"/>
      <c r="Z555" s="322"/>
      <c r="AA555" s="79"/>
      <c r="AB555" s="322"/>
      <c r="AC555" s="79"/>
      <c r="AD555" s="322"/>
      <c r="AE555" s="323">
        <f t="shared" si="162"/>
        <v>0</v>
      </c>
      <c r="AF555" s="638">
        <f t="shared" si="172"/>
        <v>0</v>
      </c>
      <c r="AG555" s="322"/>
      <c r="AH555" s="90">
        <f t="shared" si="163"/>
        <v>0</v>
      </c>
      <c r="AI555" s="80">
        <f t="shared" si="164"/>
        <v>0</v>
      </c>
      <c r="AJ555" s="638">
        <f t="shared" si="173"/>
        <v>0</v>
      </c>
      <c r="AK555" s="322"/>
      <c r="AL555" s="80">
        <f t="shared" si="165"/>
        <v>0</v>
      </c>
      <c r="AM555" s="79"/>
      <c r="AN555" s="322"/>
      <c r="AO555" s="79">
        <v>65474</v>
      </c>
      <c r="AP555" s="322">
        <v>67386</v>
      </c>
      <c r="AQ555" s="79">
        <v>21503</v>
      </c>
      <c r="AR555" s="322">
        <v>22111</v>
      </c>
      <c r="AS555" s="79">
        <v>69929</v>
      </c>
      <c r="AT555" s="322">
        <v>72150</v>
      </c>
      <c r="AU555" s="325">
        <f t="shared" si="166"/>
        <v>156906</v>
      </c>
      <c r="AV555" s="90">
        <f t="shared" si="176"/>
        <v>6537.75</v>
      </c>
      <c r="AW555" s="324">
        <f t="shared" si="167"/>
        <v>161647</v>
      </c>
      <c r="AX555" s="80">
        <f t="shared" si="177"/>
        <v>6735.291666666667</v>
      </c>
      <c r="AY555" s="326">
        <f t="shared" si="168"/>
        <v>28822.616666666665</v>
      </c>
      <c r="AZ555" s="80">
        <f t="shared" si="169"/>
        <v>29741.591666666667</v>
      </c>
    </row>
    <row r="556" spans="1:52">
      <c r="A556" s="170" t="s">
        <v>306</v>
      </c>
      <c r="B556" s="170" t="s">
        <v>310</v>
      </c>
      <c r="C556" s="229">
        <v>227216</v>
      </c>
      <c r="D556" s="165">
        <v>1</v>
      </c>
      <c r="E556" s="162" t="s">
        <v>442</v>
      </c>
      <c r="F556" s="163" t="s">
        <v>442</v>
      </c>
      <c r="G556" s="79"/>
      <c r="H556" s="322"/>
      <c r="I556" s="79">
        <v>302844</v>
      </c>
      <c r="J556" s="322">
        <v>314042</v>
      </c>
      <c r="K556" s="79">
        <v>74041</v>
      </c>
      <c r="L556" s="322">
        <v>79447</v>
      </c>
      <c r="M556" s="79">
        <v>341594</v>
      </c>
      <c r="N556" s="322">
        <v>342564</v>
      </c>
      <c r="O556" s="323">
        <f t="shared" si="160"/>
        <v>718479</v>
      </c>
      <c r="P556" s="638">
        <f t="shared" si="170"/>
        <v>718479</v>
      </c>
      <c r="Q556" s="322">
        <v>0</v>
      </c>
      <c r="R556" s="90">
        <f t="shared" si="174"/>
        <v>23949.3</v>
      </c>
      <c r="S556" s="324">
        <f t="shared" si="161"/>
        <v>736053</v>
      </c>
      <c r="T556" s="638">
        <f t="shared" si="171"/>
        <v>736053</v>
      </c>
      <c r="U556" s="322">
        <v>0</v>
      </c>
      <c r="V556" s="80">
        <f t="shared" si="175"/>
        <v>24535.1</v>
      </c>
      <c r="W556" s="79"/>
      <c r="X556" s="322"/>
      <c r="Y556" s="79"/>
      <c r="Z556" s="322"/>
      <c r="AA556" s="79"/>
      <c r="AB556" s="322"/>
      <c r="AC556" s="79"/>
      <c r="AD556" s="322"/>
      <c r="AE556" s="323">
        <f t="shared" si="162"/>
        <v>0</v>
      </c>
      <c r="AF556" s="638">
        <f t="shared" si="172"/>
        <v>0</v>
      </c>
      <c r="AG556" s="322"/>
      <c r="AH556" s="90">
        <f t="shared" si="163"/>
        <v>0</v>
      </c>
      <c r="AI556" s="80">
        <f t="shared" si="164"/>
        <v>0</v>
      </c>
      <c r="AJ556" s="638">
        <f t="shared" si="173"/>
        <v>0</v>
      </c>
      <c r="AK556" s="322"/>
      <c r="AL556" s="80">
        <f t="shared" si="165"/>
        <v>0</v>
      </c>
      <c r="AM556" s="79"/>
      <c r="AN556" s="322"/>
      <c r="AO556" s="79">
        <v>38679</v>
      </c>
      <c r="AP556" s="322">
        <v>38702</v>
      </c>
      <c r="AQ556" s="79">
        <v>21076</v>
      </c>
      <c r="AR556" s="322">
        <v>22566</v>
      </c>
      <c r="AS556" s="79">
        <v>40693</v>
      </c>
      <c r="AT556" s="322">
        <v>40571</v>
      </c>
      <c r="AU556" s="325">
        <f t="shared" si="166"/>
        <v>100448</v>
      </c>
      <c r="AV556" s="90">
        <f t="shared" si="176"/>
        <v>4185.333333333333</v>
      </c>
      <c r="AW556" s="324">
        <f t="shared" si="167"/>
        <v>101839</v>
      </c>
      <c r="AX556" s="80">
        <f t="shared" si="177"/>
        <v>4243.291666666667</v>
      </c>
      <c r="AY556" s="326">
        <f t="shared" si="168"/>
        <v>28134.633333333331</v>
      </c>
      <c r="AZ556" s="80">
        <f t="shared" si="169"/>
        <v>28778.391666666666</v>
      </c>
    </row>
    <row r="557" spans="1:52">
      <c r="A557" s="170" t="s">
        <v>306</v>
      </c>
      <c r="B557" s="400" t="s">
        <v>313</v>
      </c>
      <c r="C557" s="401">
        <v>228769</v>
      </c>
      <c r="D557" s="412">
        <v>1</v>
      </c>
      <c r="E557" s="162" t="s">
        <v>442</v>
      </c>
      <c r="F557" s="163" t="s">
        <v>442</v>
      </c>
      <c r="G557" s="79"/>
      <c r="H557" s="322"/>
      <c r="I557" s="79">
        <v>204498</v>
      </c>
      <c r="J557" s="322">
        <v>205112</v>
      </c>
      <c r="K557" s="79">
        <v>47358</v>
      </c>
      <c r="L557" s="322">
        <v>45710</v>
      </c>
      <c r="M557" s="79">
        <v>218447</v>
      </c>
      <c r="N557" s="322">
        <v>214709</v>
      </c>
      <c r="O557" s="323">
        <f t="shared" si="160"/>
        <v>470303</v>
      </c>
      <c r="P557" s="638">
        <f t="shared" si="170"/>
        <v>470303</v>
      </c>
      <c r="Q557" s="322">
        <v>163</v>
      </c>
      <c r="R557" s="90">
        <f t="shared" si="174"/>
        <v>15676.766666666666</v>
      </c>
      <c r="S557" s="324">
        <f t="shared" si="161"/>
        <v>465531</v>
      </c>
      <c r="T557" s="638">
        <f t="shared" si="171"/>
        <v>465531</v>
      </c>
      <c r="U557" s="322">
        <v>453</v>
      </c>
      <c r="V557" s="80">
        <f t="shared" si="175"/>
        <v>15517.7</v>
      </c>
      <c r="W557" s="79"/>
      <c r="X557" s="322"/>
      <c r="Y557" s="79"/>
      <c r="Z557" s="322"/>
      <c r="AA557" s="79"/>
      <c r="AB557" s="322"/>
      <c r="AC557" s="79"/>
      <c r="AD557" s="322"/>
      <c r="AE557" s="323">
        <f t="shared" si="162"/>
        <v>0</v>
      </c>
      <c r="AF557" s="638">
        <f t="shared" si="172"/>
        <v>0</v>
      </c>
      <c r="AG557" s="322"/>
      <c r="AH557" s="90">
        <f t="shared" si="163"/>
        <v>0</v>
      </c>
      <c r="AI557" s="80">
        <f t="shared" si="164"/>
        <v>0</v>
      </c>
      <c r="AJ557" s="638">
        <f t="shared" si="173"/>
        <v>0</v>
      </c>
      <c r="AK557" s="322"/>
      <c r="AL557" s="80">
        <f t="shared" si="165"/>
        <v>0</v>
      </c>
      <c r="AM557" s="79"/>
      <c r="AN557" s="322"/>
      <c r="AO557" s="79">
        <v>35478</v>
      </c>
      <c r="AP557" s="322">
        <v>38545</v>
      </c>
      <c r="AQ557" s="79">
        <v>18168</v>
      </c>
      <c r="AR557" s="322">
        <v>18796</v>
      </c>
      <c r="AS557" s="79">
        <v>39198</v>
      </c>
      <c r="AT557" s="322">
        <v>39839</v>
      </c>
      <c r="AU557" s="325">
        <f t="shared" si="166"/>
        <v>92844</v>
      </c>
      <c r="AV557" s="90">
        <f t="shared" si="176"/>
        <v>3868.5</v>
      </c>
      <c r="AW557" s="324">
        <f t="shared" si="167"/>
        <v>97180</v>
      </c>
      <c r="AX557" s="80">
        <f t="shared" si="177"/>
        <v>4049.1666666666665</v>
      </c>
      <c r="AY557" s="326">
        <f t="shared" si="168"/>
        <v>19545.266666666666</v>
      </c>
      <c r="AZ557" s="80">
        <f t="shared" si="169"/>
        <v>19566.866666666669</v>
      </c>
    </row>
    <row r="558" spans="1:52">
      <c r="A558" s="170" t="s">
        <v>306</v>
      </c>
      <c r="B558" s="166" t="s">
        <v>311</v>
      </c>
      <c r="C558" s="230">
        <v>228778</v>
      </c>
      <c r="D558" s="167">
        <v>1</v>
      </c>
      <c r="E558" s="162" t="s">
        <v>442</v>
      </c>
      <c r="F558" s="163" t="s">
        <v>442</v>
      </c>
      <c r="G558" s="79"/>
      <c r="H558" s="322"/>
      <c r="I558" s="79">
        <v>456046</v>
      </c>
      <c r="J558" s="322">
        <v>465690</v>
      </c>
      <c r="K558" s="79">
        <v>65849</v>
      </c>
      <c r="L558" s="322">
        <v>61765</v>
      </c>
      <c r="M558" s="79">
        <v>497047</v>
      </c>
      <c r="N558" s="322">
        <v>496145</v>
      </c>
      <c r="O558" s="323">
        <f t="shared" si="160"/>
        <v>1018942</v>
      </c>
      <c r="P558" s="638">
        <f t="shared" si="170"/>
        <v>1018942</v>
      </c>
      <c r="Q558" s="322">
        <v>0</v>
      </c>
      <c r="R558" s="90">
        <f t="shared" si="174"/>
        <v>33964.73333333333</v>
      </c>
      <c r="S558" s="324">
        <f t="shared" si="161"/>
        <v>1023600</v>
      </c>
      <c r="T558" s="638">
        <f t="shared" si="171"/>
        <v>1023600</v>
      </c>
      <c r="U558" s="322">
        <v>0</v>
      </c>
      <c r="V558" s="80">
        <f t="shared" si="175"/>
        <v>34120</v>
      </c>
      <c r="W558" s="79"/>
      <c r="X558" s="322"/>
      <c r="Y558" s="79"/>
      <c r="Z558" s="322"/>
      <c r="AA558" s="79"/>
      <c r="AB558" s="322"/>
      <c r="AC558" s="79"/>
      <c r="AD558" s="322"/>
      <c r="AE558" s="323">
        <f t="shared" si="162"/>
        <v>0</v>
      </c>
      <c r="AF558" s="638">
        <f t="shared" si="172"/>
        <v>0</v>
      </c>
      <c r="AG558" s="322"/>
      <c r="AH558" s="90">
        <f t="shared" si="163"/>
        <v>0</v>
      </c>
      <c r="AI558" s="80">
        <f t="shared" si="164"/>
        <v>0</v>
      </c>
      <c r="AJ558" s="638">
        <f t="shared" si="173"/>
        <v>0</v>
      </c>
      <c r="AK558" s="322"/>
      <c r="AL558" s="80">
        <f t="shared" si="165"/>
        <v>0</v>
      </c>
      <c r="AM558" s="79"/>
      <c r="AN558" s="322"/>
      <c r="AO558" s="79">
        <v>118533</v>
      </c>
      <c r="AP558" s="322">
        <v>117247</v>
      </c>
      <c r="AQ558" s="79">
        <v>25698</v>
      </c>
      <c r="AR558" s="322">
        <v>24552</v>
      </c>
      <c r="AS558" s="79">
        <v>120662</v>
      </c>
      <c r="AT558" s="322">
        <v>120238</v>
      </c>
      <c r="AU558" s="325">
        <f t="shared" si="166"/>
        <v>264893</v>
      </c>
      <c r="AV558" s="90">
        <f t="shared" si="176"/>
        <v>11037.208333333334</v>
      </c>
      <c r="AW558" s="324">
        <f t="shared" si="167"/>
        <v>262037</v>
      </c>
      <c r="AX558" s="80">
        <f t="shared" si="177"/>
        <v>10918.208333333334</v>
      </c>
      <c r="AY558" s="326">
        <f t="shared" si="168"/>
        <v>45001.941666666666</v>
      </c>
      <c r="AZ558" s="80">
        <f t="shared" si="169"/>
        <v>45038.208333333336</v>
      </c>
    </row>
    <row r="559" spans="1:52">
      <c r="A559" s="170" t="s">
        <v>306</v>
      </c>
      <c r="B559" s="166" t="s">
        <v>314</v>
      </c>
      <c r="C559" s="230">
        <v>228787</v>
      </c>
      <c r="D559" s="167">
        <v>1</v>
      </c>
      <c r="E559" s="162" t="s">
        <v>442</v>
      </c>
      <c r="F559" s="163" t="s">
        <v>442</v>
      </c>
      <c r="G559" s="79"/>
      <c r="H559" s="322"/>
      <c r="I559" s="79">
        <v>104575</v>
      </c>
      <c r="J559" s="322">
        <v>105552</v>
      </c>
      <c r="K559" s="79">
        <v>21713</v>
      </c>
      <c r="L559" s="322">
        <v>21315</v>
      </c>
      <c r="M559" s="79">
        <v>113554</v>
      </c>
      <c r="N559" s="322">
        <v>116180</v>
      </c>
      <c r="O559" s="323">
        <f t="shared" si="160"/>
        <v>239842</v>
      </c>
      <c r="P559" s="638">
        <f t="shared" si="170"/>
        <v>239842</v>
      </c>
      <c r="Q559" s="322">
        <v>0</v>
      </c>
      <c r="R559" s="90">
        <f t="shared" si="174"/>
        <v>7994.7333333333336</v>
      </c>
      <c r="S559" s="324">
        <f t="shared" si="161"/>
        <v>243047</v>
      </c>
      <c r="T559" s="638">
        <f t="shared" si="171"/>
        <v>243047</v>
      </c>
      <c r="U559" s="322">
        <v>0</v>
      </c>
      <c r="V559" s="80">
        <f t="shared" si="175"/>
        <v>8101.5666666666666</v>
      </c>
      <c r="W559" s="79"/>
      <c r="X559" s="322"/>
      <c r="Y559" s="79"/>
      <c r="Z559" s="322"/>
      <c r="AA559" s="79"/>
      <c r="AB559" s="322"/>
      <c r="AC559" s="79"/>
      <c r="AD559" s="322"/>
      <c r="AE559" s="323">
        <f t="shared" si="162"/>
        <v>0</v>
      </c>
      <c r="AF559" s="638">
        <f t="shared" si="172"/>
        <v>0</v>
      </c>
      <c r="AG559" s="322"/>
      <c r="AH559" s="90">
        <f t="shared" si="163"/>
        <v>0</v>
      </c>
      <c r="AI559" s="80">
        <f t="shared" si="164"/>
        <v>0</v>
      </c>
      <c r="AJ559" s="638">
        <f t="shared" si="173"/>
        <v>0</v>
      </c>
      <c r="AK559" s="322"/>
      <c r="AL559" s="80">
        <f t="shared" si="165"/>
        <v>0</v>
      </c>
      <c r="AM559" s="79"/>
      <c r="AN559" s="322"/>
      <c r="AO559" s="79">
        <v>34476</v>
      </c>
      <c r="AP559" s="322">
        <v>36150</v>
      </c>
      <c r="AQ559" s="79">
        <v>16864</v>
      </c>
      <c r="AR559" s="322">
        <v>20520</v>
      </c>
      <c r="AS559" s="79">
        <v>35379</v>
      </c>
      <c r="AT559" s="322">
        <v>38504</v>
      </c>
      <c r="AU559" s="325">
        <f t="shared" si="166"/>
        <v>86719</v>
      </c>
      <c r="AV559" s="90">
        <f t="shared" si="176"/>
        <v>3613.2916666666665</v>
      </c>
      <c r="AW559" s="324">
        <f t="shared" si="167"/>
        <v>95174</v>
      </c>
      <c r="AX559" s="80">
        <f t="shared" si="177"/>
        <v>3965.5833333333335</v>
      </c>
      <c r="AY559" s="326">
        <f t="shared" si="168"/>
        <v>11608.025</v>
      </c>
      <c r="AZ559" s="80">
        <f t="shared" si="169"/>
        <v>12067.15</v>
      </c>
    </row>
    <row r="560" spans="1:52">
      <c r="A560" s="170" t="s">
        <v>306</v>
      </c>
      <c r="B560" s="170" t="s">
        <v>312</v>
      </c>
      <c r="C560" s="229">
        <v>229179</v>
      </c>
      <c r="D560" s="168">
        <v>2</v>
      </c>
      <c r="E560" s="162" t="s">
        <v>442</v>
      </c>
      <c r="F560" s="163" t="s">
        <v>442</v>
      </c>
      <c r="G560" s="79"/>
      <c r="H560" s="322"/>
      <c r="I560" s="79">
        <v>76172</v>
      </c>
      <c r="J560" s="322">
        <v>79120</v>
      </c>
      <c r="K560" s="79">
        <v>21559</v>
      </c>
      <c r="L560" s="322">
        <v>22449</v>
      </c>
      <c r="M560" s="79">
        <v>84322</v>
      </c>
      <c r="N560" s="322">
        <v>87711</v>
      </c>
      <c r="O560" s="323">
        <f t="shared" si="160"/>
        <v>182053</v>
      </c>
      <c r="P560" s="638">
        <f t="shared" si="170"/>
        <v>182053</v>
      </c>
      <c r="Q560" s="322">
        <v>0</v>
      </c>
      <c r="R560" s="90">
        <f t="shared" si="174"/>
        <v>6068.4333333333334</v>
      </c>
      <c r="S560" s="324">
        <f t="shared" si="161"/>
        <v>189280</v>
      </c>
      <c r="T560" s="638">
        <f t="shared" si="171"/>
        <v>189280</v>
      </c>
      <c r="U560" s="322">
        <v>0</v>
      </c>
      <c r="V560" s="80">
        <f t="shared" si="175"/>
        <v>6309.333333333333</v>
      </c>
      <c r="W560" s="79"/>
      <c r="X560" s="322"/>
      <c r="Y560" s="79"/>
      <c r="Z560" s="322"/>
      <c r="AA560" s="79"/>
      <c r="AB560" s="322"/>
      <c r="AC560" s="79"/>
      <c r="AD560" s="322"/>
      <c r="AE560" s="323">
        <f t="shared" si="162"/>
        <v>0</v>
      </c>
      <c r="AF560" s="638">
        <f t="shared" si="172"/>
        <v>0</v>
      </c>
      <c r="AG560" s="322"/>
      <c r="AH560" s="90">
        <f t="shared" si="163"/>
        <v>0</v>
      </c>
      <c r="AI560" s="80">
        <f t="shared" si="164"/>
        <v>0</v>
      </c>
      <c r="AJ560" s="638">
        <f t="shared" si="173"/>
        <v>0</v>
      </c>
      <c r="AK560" s="322"/>
      <c r="AL560" s="80">
        <f t="shared" si="165"/>
        <v>0</v>
      </c>
      <c r="AM560" s="79"/>
      <c r="AN560" s="322"/>
      <c r="AO560" s="79">
        <v>31832</v>
      </c>
      <c r="AP560" s="322">
        <v>32800</v>
      </c>
      <c r="AQ560" s="79">
        <v>22787</v>
      </c>
      <c r="AR560" s="322">
        <v>22240</v>
      </c>
      <c r="AS560" s="79">
        <v>33443</v>
      </c>
      <c r="AT560" s="322">
        <v>32386</v>
      </c>
      <c r="AU560" s="325">
        <f t="shared" si="166"/>
        <v>88062</v>
      </c>
      <c r="AV560" s="90">
        <f t="shared" si="176"/>
        <v>3669.25</v>
      </c>
      <c r="AW560" s="324">
        <f t="shared" si="167"/>
        <v>87426</v>
      </c>
      <c r="AX560" s="80">
        <f t="shared" si="177"/>
        <v>3642.75</v>
      </c>
      <c r="AY560" s="326">
        <f t="shared" si="168"/>
        <v>9737.6833333333343</v>
      </c>
      <c r="AZ560" s="80">
        <f t="shared" si="169"/>
        <v>9952.0833333333321</v>
      </c>
    </row>
    <row r="561" spans="1:52">
      <c r="A561" s="170" t="s">
        <v>306</v>
      </c>
      <c r="B561" s="400" t="s">
        <v>329</v>
      </c>
      <c r="C561" s="401">
        <v>228796</v>
      </c>
      <c r="D561" s="412">
        <v>2</v>
      </c>
      <c r="E561" s="162" t="s">
        <v>442</v>
      </c>
      <c r="F561" s="163" t="s">
        <v>442</v>
      </c>
      <c r="G561" s="79"/>
      <c r="H561" s="322"/>
      <c r="I561" s="79">
        <v>174485</v>
      </c>
      <c r="J561" s="322">
        <v>174503</v>
      </c>
      <c r="K561" s="79">
        <v>36813</v>
      </c>
      <c r="L561" s="322">
        <v>44261</v>
      </c>
      <c r="M561" s="79">
        <v>188519</v>
      </c>
      <c r="N561" s="322">
        <v>188224</v>
      </c>
      <c r="O561" s="323">
        <f t="shared" si="160"/>
        <v>399817</v>
      </c>
      <c r="P561" s="638">
        <f t="shared" si="170"/>
        <v>399817</v>
      </c>
      <c r="Q561" s="322">
        <v>1021</v>
      </c>
      <c r="R561" s="90">
        <f t="shared" si="174"/>
        <v>13327.233333333334</v>
      </c>
      <c r="S561" s="324">
        <f t="shared" si="161"/>
        <v>406988</v>
      </c>
      <c r="T561" s="638">
        <f t="shared" si="171"/>
        <v>406988</v>
      </c>
      <c r="U561" s="322">
        <v>977</v>
      </c>
      <c r="V561" s="80">
        <f t="shared" si="175"/>
        <v>13566.266666666666</v>
      </c>
      <c r="W561" s="79"/>
      <c r="X561" s="322"/>
      <c r="Y561" s="79"/>
      <c r="Z561" s="322"/>
      <c r="AA561" s="79"/>
      <c r="AB561" s="322"/>
      <c r="AC561" s="79"/>
      <c r="AD561" s="322"/>
      <c r="AE561" s="323">
        <f t="shared" si="162"/>
        <v>0</v>
      </c>
      <c r="AF561" s="638">
        <f t="shared" si="172"/>
        <v>0</v>
      </c>
      <c r="AG561" s="322"/>
      <c r="AH561" s="90">
        <f t="shared" si="163"/>
        <v>0</v>
      </c>
      <c r="AI561" s="80">
        <f t="shared" si="164"/>
        <v>0</v>
      </c>
      <c r="AJ561" s="638">
        <f t="shared" si="173"/>
        <v>0</v>
      </c>
      <c r="AK561" s="322"/>
      <c r="AL561" s="80">
        <f t="shared" si="165"/>
        <v>0</v>
      </c>
      <c r="AM561" s="79"/>
      <c r="AN561" s="322"/>
      <c r="AO561" s="79">
        <v>19486</v>
      </c>
      <c r="AP561" s="322">
        <v>19890</v>
      </c>
      <c r="AQ561" s="79">
        <v>8174</v>
      </c>
      <c r="AR561" s="322">
        <v>9775</v>
      </c>
      <c r="AS561" s="79">
        <v>19713</v>
      </c>
      <c r="AT561" s="322">
        <v>20718</v>
      </c>
      <c r="AU561" s="325">
        <f t="shared" si="166"/>
        <v>47373</v>
      </c>
      <c r="AV561" s="90">
        <f t="shared" si="176"/>
        <v>1973.875</v>
      </c>
      <c r="AW561" s="324">
        <f t="shared" si="167"/>
        <v>50383</v>
      </c>
      <c r="AX561" s="80">
        <f t="shared" si="177"/>
        <v>2099.2916666666665</v>
      </c>
      <c r="AY561" s="326">
        <f t="shared" si="168"/>
        <v>15301.108333333334</v>
      </c>
      <c r="AZ561" s="80">
        <f t="shared" si="169"/>
        <v>15665.558333333332</v>
      </c>
    </row>
    <row r="562" spans="1:52">
      <c r="A562" s="170" t="s">
        <v>306</v>
      </c>
      <c r="B562" s="170" t="s">
        <v>315</v>
      </c>
      <c r="C562" s="229">
        <v>222831</v>
      </c>
      <c r="D562" s="165">
        <v>3</v>
      </c>
      <c r="E562" s="162" t="s">
        <v>442</v>
      </c>
      <c r="F562" s="163" t="s">
        <v>442</v>
      </c>
      <c r="G562" s="79"/>
      <c r="H562" s="322"/>
      <c r="I562" s="79">
        <v>64651</v>
      </c>
      <c r="J562" s="322">
        <v>63873</v>
      </c>
      <c r="K562" s="79">
        <v>12595</v>
      </c>
      <c r="L562" s="322">
        <v>11619</v>
      </c>
      <c r="M562" s="79">
        <v>73535</v>
      </c>
      <c r="N562" s="322">
        <v>70945</v>
      </c>
      <c r="O562" s="323">
        <f t="shared" si="160"/>
        <v>150781</v>
      </c>
      <c r="P562" s="638">
        <f t="shared" si="170"/>
        <v>150781</v>
      </c>
      <c r="Q562" s="322">
        <v>240</v>
      </c>
      <c r="R562" s="90">
        <f t="shared" si="174"/>
        <v>5026.0333333333338</v>
      </c>
      <c r="S562" s="324">
        <f t="shared" si="161"/>
        <v>146437</v>
      </c>
      <c r="T562" s="638">
        <f t="shared" si="171"/>
        <v>146437</v>
      </c>
      <c r="U562" s="322">
        <v>393</v>
      </c>
      <c r="V562" s="80">
        <f t="shared" si="175"/>
        <v>4881.2333333333336</v>
      </c>
      <c r="W562" s="79"/>
      <c r="X562" s="322"/>
      <c r="Y562" s="79"/>
      <c r="Z562" s="322"/>
      <c r="AA562" s="79"/>
      <c r="AB562" s="322"/>
      <c r="AC562" s="79"/>
      <c r="AD562" s="322"/>
      <c r="AE562" s="323">
        <f t="shared" si="162"/>
        <v>0</v>
      </c>
      <c r="AF562" s="638">
        <f t="shared" si="172"/>
        <v>0</v>
      </c>
      <c r="AG562" s="322"/>
      <c r="AH562" s="90">
        <f t="shared" si="163"/>
        <v>0</v>
      </c>
      <c r="AI562" s="80">
        <f t="shared" si="164"/>
        <v>0</v>
      </c>
      <c r="AJ562" s="638">
        <f t="shared" si="173"/>
        <v>0</v>
      </c>
      <c r="AK562" s="322"/>
      <c r="AL562" s="80">
        <f t="shared" si="165"/>
        <v>0</v>
      </c>
      <c r="AM562" s="79"/>
      <c r="AN562" s="322"/>
      <c r="AO562" s="79">
        <v>3574</v>
      </c>
      <c r="AP562" s="322">
        <v>3582</v>
      </c>
      <c r="AQ562" s="79">
        <v>1917</v>
      </c>
      <c r="AR562" s="322">
        <v>2654</v>
      </c>
      <c r="AS562" s="79">
        <v>2641</v>
      </c>
      <c r="AT562" s="322">
        <v>3327</v>
      </c>
      <c r="AU562" s="325">
        <f t="shared" si="166"/>
        <v>8132</v>
      </c>
      <c r="AV562" s="90">
        <f t="shared" si="176"/>
        <v>338.83333333333331</v>
      </c>
      <c r="AW562" s="324">
        <f t="shared" si="167"/>
        <v>9563</v>
      </c>
      <c r="AX562" s="80">
        <f t="shared" si="177"/>
        <v>398.45833333333331</v>
      </c>
      <c r="AY562" s="326">
        <f t="shared" si="168"/>
        <v>5364.8666666666668</v>
      </c>
      <c r="AZ562" s="80">
        <f t="shared" si="169"/>
        <v>5279.6916666666666</v>
      </c>
    </row>
    <row r="563" spans="1:52">
      <c r="A563" s="170" t="s">
        <v>306</v>
      </c>
      <c r="B563" s="170" t="s">
        <v>316</v>
      </c>
      <c r="C563" s="229">
        <v>226091</v>
      </c>
      <c r="D563" s="165">
        <v>3</v>
      </c>
      <c r="E563" s="162" t="s">
        <v>442</v>
      </c>
      <c r="F563" s="163" t="s">
        <v>442</v>
      </c>
      <c r="G563" s="79"/>
      <c r="H563" s="322"/>
      <c r="I563" s="79">
        <v>92058</v>
      </c>
      <c r="J563" s="322">
        <v>90740</v>
      </c>
      <c r="K563" s="79">
        <v>25287</v>
      </c>
      <c r="L563" s="322">
        <v>23487</v>
      </c>
      <c r="M563" s="79">
        <v>100493</v>
      </c>
      <c r="N563" s="322">
        <v>100092</v>
      </c>
      <c r="O563" s="323">
        <f t="shared" si="160"/>
        <v>217838</v>
      </c>
      <c r="P563" s="638">
        <f t="shared" si="170"/>
        <v>217838</v>
      </c>
      <c r="Q563" s="322">
        <v>2734</v>
      </c>
      <c r="R563" s="90">
        <f t="shared" si="174"/>
        <v>7261.2666666666664</v>
      </c>
      <c r="S563" s="324">
        <f t="shared" si="161"/>
        <v>214319</v>
      </c>
      <c r="T563" s="638">
        <f t="shared" si="171"/>
        <v>214319</v>
      </c>
      <c r="U563" s="322">
        <v>1609</v>
      </c>
      <c r="V563" s="80">
        <f t="shared" si="175"/>
        <v>7143.9666666666662</v>
      </c>
      <c r="W563" s="79"/>
      <c r="X563" s="322"/>
      <c r="Y563" s="79"/>
      <c r="Z563" s="322"/>
      <c r="AA563" s="79"/>
      <c r="AB563" s="322"/>
      <c r="AC563" s="79"/>
      <c r="AD563" s="322"/>
      <c r="AE563" s="323">
        <f t="shared" si="162"/>
        <v>0</v>
      </c>
      <c r="AF563" s="638">
        <f t="shared" si="172"/>
        <v>0</v>
      </c>
      <c r="AG563" s="322"/>
      <c r="AH563" s="90">
        <f t="shared" si="163"/>
        <v>0</v>
      </c>
      <c r="AI563" s="80">
        <f t="shared" si="164"/>
        <v>0</v>
      </c>
      <c r="AJ563" s="638">
        <f t="shared" si="173"/>
        <v>0</v>
      </c>
      <c r="AK563" s="322"/>
      <c r="AL563" s="80">
        <f t="shared" si="165"/>
        <v>0</v>
      </c>
      <c r="AM563" s="79"/>
      <c r="AN563" s="322"/>
      <c r="AO563" s="79">
        <v>9015</v>
      </c>
      <c r="AP563" s="322">
        <v>15575</v>
      </c>
      <c r="AQ563" s="79">
        <v>5352</v>
      </c>
      <c r="AR563" s="322">
        <v>35533</v>
      </c>
      <c r="AS563" s="79">
        <v>11237</v>
      </c>
      <c r="AT563" s="322">
        <v>27244</v>
      </c>
      <c r="AU563" s="325">
        <f t="shared" si="166"/>
        <v>25604</v>
      </c>
      <c r="AV563" s="90">
        <f t="shared" si="176"/>
        <v>1066.8333333333333</v>
      </c>
      <c r="AW563" s="324">
        <f t="shared" si="167"/>
        <v>78352</v>
      </c>
      <c r="AX563" s="80">
        <f t="shared" si="177"/>
        <v>3264.6666666666665</v>
      </c>
      <c r="AY563" s="326">
        <f t="shared" si="168"/>
        <v>8328.1</v>
      </c>
      <c r="AZ563" s="80">
        <f t="shared" si="169"/>
        <v>10408.633333333333</v>
      </c>
    </row>
    <row r="564" spans="1:52">
      <c r="A564" s="170" t="s">
        <v>306</v>
      </c>
      <c r="B564" s="170" t="s">
        <v>317</v>
      </c>
      <c r="C564" s="229">
        <v>226833</v>
      </c>
      <c r="D564" s="165">
        <v>3</v>
      </c>
      <c r="E564" s="162" t="s">
        <v>442</v>
      </c>
      <c r="F564" s="163" t="s">
        <v>442</v>
      </c>
      <c r="G564" s="79"/>
      <c r="H564" s="322"/>
      <c r="I564" s="79">
        <v>58409</v>
      </c>
      <c r="J564" s="322">
        <v>58291</v>
      </c>
      <c r="K564" s="79">
        <v>15944</v>
      </c>
      <c r="L564" s="322">
        <v>14393</v>
      </c>
      <c r="M564" s="79">
        <v>62570</v>
      </c>
      <c r="N564" s="322">
        <v>61415</v>
      </c>
      <c r="O564" s="323">
        <f t="shared" si="160"/>
        <v>136923</v>
      </c>
      <c r="P564" s="638">
        <f t="shared" si="170"/>
        <v>136923</v>
      </c>
      <c r="Q564" s="322">
        <v>129</v>
      </c>
      <c r="R564" s="90">
        <f t="shared" si="174"/>
        <v>4564.1000000000004</v>
      </c>
      <c r="S564" s="324">
        <f t="shared" si="161"/>
        <v>134099</v>
      </c>
      <c r="T564" s="638">
        <f t="shared" si="171"/>
        <v>134099</v>
      </c>
      <c r="U564" s="322">
        <v>128</v>
      </c>
      <c r="V564" s="80">
        <f t="shared" si="175"/>
        <v>4469.9666666666662</v>
      </c>
      <c r="W564" s="79"/>
      <c r="X564" s="322"/>
      <c r="Y564" s="79"/>
      <c r="Z564" s="322"/>
      <c r="AA564" s="79"/>
      <c r="AB564" s="322"/>
      <c r="AC564" s="79"/>
      <c r="AD564" s="322"/>
      <c r="AE564" s="323">
        <f t="shared" si="162"/>
        <v>0</v>
      </c>
      <c r="AF564" s="638">
        <f t="shared" si="172"/>
        <v>0</v>
      </c>
      <c r="AG564" s="322"/>
      <c r="AH564" s="90">
        <f t="shared" si="163"/>
        <v>0</v>
      </c>
      <c r="AI564" s="80">
        <f t="shared" si="164"/>
        <v>0</v>
      </c>
      <c r="AJ564" s="638">
        <f t="shared" si="173"/>
        <v>0</v>
      </c>
      <c r="AK564" s="322"/>
      <c r="AL564" s="80">
        <f t="shared" si="165"/>
        <v>0</v>
      </c>
      <c r="AM564" s="79"/>
      <c r="AN564" s="322"/>
      <c r="AO564" s="79">
        <v>3430</v>
      </c>
      <c r="AP564" s="322">
        <v>3267</v>
      </c>
      <c r="AQ564" s="79">
        <v>2052</v>
      </c>
      <c r="AR564" s="322">
        <v>2317</v>
      </c>
      <c r="AS564" s="79">
        <v>3258</v>
      </c>
      <c r="AT564" s="322">
        <v>3395</v>
      </c>
      <c r="AU564" s="325">
        <f t="shared" si="166"/>
        <v>8740</v>
      </c>
      <c r="AV564" s="90">
        <f t="shared" si="176"/>
        <v>364.16666666666669</v>
      </c>
      <c r="AW564" s="324">
        <f t="shared" si="167"/>
        <v>8979</v>
      </c>
      <c r="AX564" s="80">
        <f t="shared" si="177"/>
        <v>374.125</v>
      </c>
      <c r="AY564" s="326">
        <f t="shared" si="168"/>
        <v>4928.2666666666673</v>
      </c>
      <c r="AZ564" s="80">
        <f t="shared" si="169"/>
        <v>4844.0916666666662</v>
      </c>
    </row>
    <row r="565" spans="1:52">
      <c r="A565" s="170" t="s">
        <v>306</v>
      </c>
      <c r="B565" s="170" t="s">
        <v>318</v>
      </c>
      <c r="C565" s="229">
        <v>227526</v>
      </c>
      <c r="D565" s="165">
        <v>3</v>
      </c>
      <c r="E565" s="162" t="s">
        <v>442</v>
      </c>
      <c r="F565" s="163" t="s">
        <v>442</v>
      </c>
      <c r="G565" s="79"/>
      <c r="H565" s="322"/>
      <c r="I565" s="79">
        <v>73106</v>
      </c>
      <c r="J565" s="322">
        <v>76109</v>
      </c>
      <c r="K565" s="79">
        <v>11128</v>
      </c>
      <c r="L565" s="322">
        <v>11671</v>
      </c>
      <c r="M565" s="79">
        <v>82313</v>
      </c>
      <c r="N565" s="322">
        <v>82896</v>
      </c>
      <c r="O565" s="323">
        <f t="shared" si="160"/>
        <v>166547</v>
      </c>
      <c r="P565" s="638">
        <f t="shared" si="170"/>
        <v>166547</v>
      </c>
      <c r="Q565" s="322">
        <v>0</v>
      </c>
      <c r="R565" s="90">
        <f t="shared" si="174"/>
        <v>5551.5666666666666</v>
      </c>
      <c r="S565" s="324">
        <f t="shared" si="161"/>
        <v>170676</v>
      </c>
      <c r="T565" s="638">
        <f t="shared" si="171"/>
        <v>170676</v>
      </c>
      <c r="U565" s="322">
        <v>0</v>
      </c>
      <c r="V565" s="80">
        <f t="shared" si="175"/>
        <v>5689.2</v>
      </c>
      <c r="W565" s="79"/>
      <c r="X565" s="322"/>
      <c r="Y565" s="79"/>
      <c r="Z565" s="322"/>
      <c r="AA565" s="79"/>
      <c r="AB565" s="322"/>
      <c r="AC565" s="79"/>
      <c r="AD565" s="322"/>
      <c r="AE565" s="323">
        <f t="shared" si="162"/>
        <v>0</v>
      </c>
      <c r="AF565" s="638">
        <f t="shared" si="172"/>
        <v>0</v>
      </c>
      <c r="AG565" s="322"/>
      <c r="AH565" s="90">
        <f t="shared" si="163"/>
        <v>0</v>
      </c>
      <c r="AI565" s="80">
        <f t="shared" si="164"/>
        <v>0</v>
      </c>
      <c r="AJ565" s="638">
        <f t="shared" si="173"/>
        <v>0</v>
      </c>
      <c r="AK565" s="322"/>
      <c r="AL565" s="80">
        <f t="shared" si="165"/>
        <v>0</v>
      </c>
      <c r="AM565" s="79"/>
      <c r="AN565" s="322"/>
      <c r="AO565" s="79">
        <v>16411</v>
      </c>
      <c r="AP565" s="322">
        <v>16339</v>
      </c>
      <c r="AQ565" s="79">
        <v>8297</v>
      </c>
      <c r="AR565" s="322">
        <v>7970</v>
      </c>
      <c r="AS565" s="79">
        <v>15912</v>
      </c>
      <c r="AT565" s="322">
        <v>13087</v>
      </c>
      <c r="AU565" s="325">
        <f t="shared" si="166"/>
        <v>40620</v>
      </c>
      <c r="AV565" s="90">
        <f t="shared" si="176"/>
        <v>1692.5</v>
      </c>
      <c r="AW565" s="324">
        <f t="shared" si="167"/>
        <v>37396</v>
      </c>
      <c r="AX565" s="80">
        <f t="shared" si="177"/>
        <v>1558.1666666666667</v>
      </c>
      <c r="AY565" s="326">
        <f t="shared" si="168"/>
        <v>7244.0666666666666</v>
      </c>
      <c r="AZ565" s="80">
        <f t="shared" si="169"/>
        <v>7247.3666666666668</v>
      </c>
    </row>
    <row r="566" spans="1:52">
      <c r="A566" s="170" t="s">
        <v>306</v>
      </c>
      <c r="B566" s="170" t="s">
        <v>319</v>
      </c>
      <c r="C566" s="229">
        <v>227881</v>
      </c>
      <c r="D566" s="165">
        <v>3</v>
      </c>
      <c r="E566" s="162" t="s">
        <v>442</v>
      </c>
      <c r="F566" s="163" t="s">
        <v>442</v>
      </c>
      <c r="G566" s="79"/>
      <c r="H566" s="322"/>
      <c r="I566" s="79">
        <v>169316</v>
      </c>
      <c r="J566" s="322">
        <v>171858</v>
      </c>
      <c r="K566" s="79">
        <v>39351</v>
      </c>
      <c r="L566" s="322">
        <v>39347</v>
      </c>
      <c r="M566" s="79">
        <v>184907</v>
      </c>
      <c r="N566" s="322">
        <v>186925</v>
      </c>
      <c r="O566" s="323">
        <f t="shared" si="160"/>
        <v>393574</v>
      </c>
      <c r="P566" s="638">
        <f t="shared" si="170"/>
        <v>393574</v>
      </c>
      <c r="Q566" s="322">
        <v>120</v>
      </c>
      <c r="R566" s="90">
        <f t="shared" si="174"/>
        <v>13119.133333333333</v>
      </c>
      <c r="S566" s="324">
        <f t="shared" si="161"/>
        <v>398130</v>
      </c>
      <c r="T566" s="638">
        <f t="shared" si="171"/>
        <v>398130</v>
      </c>
      <c r="U566" s="322">
        <v>0</v>
      </c>
      <c r="V566" s="80">
        <f t="shared" si="175"/>
        <v>13271</v>
      </c>
      <c r="W566" s="79"/>
      <c r="X566" s="322"/>
      <c r="Y566" s="79"/>
      <c r="Z566" s="322"/>
      <c r="AA566" s="79"/>
      <c r="AB566" s="322"/>
      <c r="AC566" s="79"/>
      <c r="AD566" s="322"/>
      <c r="AE566" s="323">
        <f t="shared" si="162"/>
        <v>0</v>
      </c>
      <c r="AF566" s="638">
        <f t="shared" si="172"/>
        <v>0</v>
      </c>
      <c r="AG566" s="322"/>
      <c r="AH566" s="90">
        <f t="shared" si="163"/>
        <v>0</v>
      </c>
      <c r="AI566" s="80">
        <f t="shared" si="164"/>
        <v>0</v>
      </c>
      <c r="AJ566" s="638">
        <f t="shared" si="173"/>
        <v>0</v>
      </c>
      <c r="AK566" s="322"/>
      <c r="AL566" s="80">
        <f t="shared" si="165"/>
        <v>0</v>
      </c>
      <c r="AM566" s="79"/>
      <c r="AN566" s="322"/>
      <c r="AO566" s="79">
        <v>12158</v>
      </c>
      <c r="AP566" s="322">
        <v>12965</v>
      </c>
      <c r="AQ566" s="79">
        <v>11609</v>
      </c>
      <c r="AR566" s="322">
        <v>11410</v>
      </c>
      <c r="AS566" s="79">
        <v>13422</v>
      </c>
      <c r="AT566" s="322">
        <v>13803</v>
      </c>
      <c r="AU566" s="325">
        <f t="shared" si="166"/>
        <v>37189</v>
      </c>
      <c r="AV566" s="90">
        <f t="shared" si="176"/>
        <v>1549.5416666666667</v>
      </c>
      <c r="AW566" s="324">
        <f t="shared" si="167"/>
        <v>38178</v>
      </c>
      <c r="AX566" s="80">
        <f t="shared" si="177"/>
        <v>1590.75</v>
      </c>
      <c r="AY566" s="326">
        <f t="shared" si="168"/>
        <v>14668.674999999999</v>
      </c>
      <c r="AZ566" s="80">
        <f t="shared" si="169"/>
        <v>14861.75</v>
      </c>
    </row>
    <row r="567" spans="1:52">
      <c r="A567" s="170" t="s">
        <v>306</v>
      </c>
      <c r="B567" s="170" t="s">
        <v>320</v>
      </c>
      <c r="C567" s="229">
        <v>228431</v>
      </c>
      <c r="D567" s="165">
        <v>3</v>
      </c>
      <c r="E567" s="162" t="s">
        <v>442</v>
      </c>
      <c r="F567" s="163" t="s">
        <v>442</v>
      </c>
      <c r="G567" s="79"/>
      <c r="H567" s="322"/>
      <c r="I567" s="79">
        <v>122042</v>
      </c>
      <c r="J567" s="322">
        <v>118694</v>
      </c>
      <c r="K567" s="79">
        <v>30827</v>
      </c>
      <c r="L567" s="322">
        <v>31178</v>
      </c>
      <c r="M567" s="79">
        <v>131756</v>
      </c>
      <c r="N567" s="322">
        <v>134092</v>
      </c>
      <c r="O567" s="323">
        <f t="shared" si="160"/>
        <v>284625</v>
      </c>
      <c r="P567" s="638">
        <f t="shared" si="170"/>
        <v>284625</v>
      </c>
      <c r="Q567" s="322">
        <v>1165</v>
      </c>
      <c r="R567" s="90">
        <f t="shared" si="174"/>
        <v>9487.5</v>
      </c>
      <c r="S567" s="324">
        <f t="shared" si="161"/>
        <v>283964</v>
      </c>
      <c r="T567" s="638">
        <f t="shared" si="171"/>
        <v>283964</v>
      </c>
      <c r="U567" s="322">
        <v>1124</v>
      </c>
      <c r="V567" s="80">
        <f t="shared" si="175"/>
        <v>9465.4666666666672</v>
      </c>
      <c r="W567" s="79"/>
      <c r="X567" s="322"/>
      <c r="Y567" s="79"/>
      <c r="Z567" s="322"/>
      <c r="AA567" s="79"/>
      <c r="AB567" s="322"/>
      <c r="AC567" s="79"/>
      <c r="AD567" s="322"/>
      <c r="AE567" s="323">
        <f t="shared" si="162"/>
        <v>0</v>
      </c>
      <c r="AF567" s="638">
        <f t="shared" si="172"/>
        <v>0</v>
      </c>
      <c r="AG567" s="322"/>
      <c r="AH567" s="90">
        <f t="shared" si="163"/>
        <v>0</v>
      </c>
      <c r="AI567" s="80">
        <f t="shared" si="164"/>
        <v>0</v>
      </c>
      <c r="AJ567" s="638">
        <f t="shared" si="173"/>
        <v>0</v>
      </c>
      <c r="AK567" s="322"/>
      <c r="AL567" s="80">
        <f t="shared" si="165"/>
        <v>0</v>
      </c>
      <c r="AM567" s="79"/>
      <c r="AN567" s="322"/>
      <c r="AO567" s="79">
        <v>9237</v>
      </c>
      <c r="AP567" s="322">
        <v>9867</v>
      </c>
      <c r="AQ567" s="79">
        <v>7019</v>
      </c>
      <c r="AR567" s="322">
        <v>7055</v>
      </c>
      <c r="AS567" s="79">
        <v>9202</v>
      </c>
      <c r="AT567" s="322">
        <v>10034</v>
      </c>
      <c r="AU567" s="325">
        <f t="shared" si="166"/>
        <v>25458</v>
      </c>
      <c r="AV567" s="90">
        <f t="shared" si="176"/>
        <v>1060.75</v>
      </c>
      <c r="AW567" s="324">
        <f t="shared" si="167"/>
        <v>26956</v>
      </c>
      <c r="AX567" s="80">
        <f t="shared" si="177"/>
        <v>1123.1666666666667</v>
      </c>
      <c r="AY567" s="326">
        <f t="shared" si="168"/>
        <v>10548.25</v>
      </c>
      <c r="AZ567" s="80">
        <f t="shared" si="169"/>
        <v>10588.633333333333</v>
      </c>
    </row>
    <row r="568" spans="1:52">
      <c r="A568" s="170" t="s">
        <v>306</v>
      </c>
      <c r="B568" s="166" t="s">
        <v>321</v>
      </c>
      <c r="C568" s="230">
        <v>228501</v>
      </c>
      <c r="D568" s="169">
        <v>3</v>
      </c>
      <c r="E568" s="162" t="s">
        <v>442</v>
      </c>
      <c r="F568" s="163" t="s">
        <v>442</v>
      </c>
      <c r="G568" s="79"/>
      <c r="H568" s="322"/>
      <c r="I568" s="79">
        <v>16206</v>
      </c>
      <c r="J568" s="322">
        <v>13952</v>
      </c>
      <c r="K568" s="79">
        <v>3619</v>
      </c>
      <c r="L568" s="322">
        <v>3585</v>
      </c>
      <c r="M568" s="79">
        <v>15558</v>
      </c>
      <c r="N568" s="322">
        <v>16465</v>
      </c>
      <c r="O568" s="323">
        <f t="shared" si="160"/>
        <v>35383</v>
      </c>
      <c r="P568" s="638">
        <f t="shared" si="170"/>
        <v>35383</v>
      </c>
      <c r="Q568" s="322">
        <v>123</v>
      </c>
      <c r="R568" s="90">
        <f t="shared" si="174"/>
        <v>1179.4333333333334</v>
      </c>
      <c r="S568" s="324">
        <f t="shared" si="161"/>
        <v>34002</v>
      </c>
      <c r="T568" s="638">
        <f t="shared" si="171"/>
        <v>34002</v>
      </c>
      <c r="U568" s="322">
        <v>256</v>
      </c>
      <c r="V568" s="80">
        <f t="shared" si="175"/>
        <v>1133.4000000000001</v>
      </c>
      <c r="W568" s="79"/>
      <c r="X568" s="322"/>
      <c r="Y568" s="79"/>
      <c r="Z568" s="322"/>
      <c r="AA568" s="79"/>
      <c r="AB568" s="322"/>
      <c r="AC568" s="79"/>
      <c r="AD568" s="322"/>
      <c r="AE568" s="323">
        <f t="shared" si="162"/>
        <v>0</v>
      </c>
      <c r="AF568" s="638">
        <f t="shared" si="172"/>
        <v>0</v>
      </c>
      <c r="AG568" s="322"/>
      <c r="AH568" s="90">
        <f t="shared" si="163"/>
        <v>0</v>
      </c>
      <c r="AI568" s="80">
        <f t="shared" si="164"/>
        <v>0</v>
      </c>
      <c r="AJ568" s="638">
        <f t="shared" si="173"/>
        <v>0</v>
      </c>
      <c r="AK568" s="322"/>
      <c r="AL568" s="80">
        <f t="shared" si="165"/>
        <v>0</v>
      </c>
      <c r="AM568" s="79"/>
      <c r="AN568" s="322"/>
      <c r="AO568" s="79">
        <v>2721</v>
      </c>
      <c r="AP568" s="322">
        <v>2874</v>
      </c>
      <c r="AQ568" s="79">
        <v>2627</v>
      </c>
      <c r="AR568" s="322">
        <v>2990</v>
      </c>
      <c r="AS568" s="79">
        <v>2562</v>
      </c>
      <c r="AT568" s="322">
        <v>2747</v>
      </c>
      <c r="AU568" s="325">
        <f t="shared" si="166"/>
        <v>7910</v>
      </c>
      <c r="AV568" s="90">
        <f t="shared" si="176"/>
        <v>329.58333333333331</v>
      </c>
      <c r="AW568" s="324">
        <f t="shared" si="167"/>
        <v>8611</v>
      </c>
      <c r="AX568" s="80">
        <f t="shared" si="177"/>
        <v>358.79166666666669</v>
      </c>
      <c r="AY568" s="326">
        <f t="shared" si="168"/>
        <v>1509.0166666666667</v>
      </c>
      <c r="AZ568" s="80">
        <f t="shared" si="169"/>
        <v>1492.1916666666668</v>
      </c>
    </row>
    <row r="569" spans="1:52">
      <c r="A569" s="170" t="s">
        <v>306</v>
      </c>
      <c r="B569" s="170" t="s">
        <v>322</v>
      </c>
      <c r="C569" s="229">
        <v>228529</v>
      </c>
      <c r="D569" s="165">
        <v>3</v>
      </c>
      <c r="E569" s="162" t="s">
        <v>442</v>
      </c>
      <c r="F569" s="163" t="s">
        <v>442</v>
      </c>
      <c r="G569" s="79"/>
      <c r="H569" s="322"/>
      <c r="I569" s="79">
        <v>86775</v>
      </c>
      <c r="J569" s="322">
        <v>86705</v>
      </c>
      <c r="K569" s="79">
        <v>24670</v>
      </c>
      <c r="L569" s="322">
        <v>23694</v>
      </c>
      <c r="M569" s="79">
        <v>94244</v>
      </c>
      <c r="N569" s="322">
        <v>92339</v>
      </c>
      <c r="O569" s="323">
        <f t="shared" si="160"/>
        <v>205689</v>
      </c>
      <c r="P569" s="638">
        <f t="shared" si="170"/>
        <v>205689</v>
      </c>
      <c r="Q569" s="322">
        <v>242</v>
      </c>
      <c r="R569" s="90">
        <f t="shared" si="174"/>
        <v>6856.3</v>
      </c>
      <c r="S569" s="324">
        <f t="shared" si="161"/>
        <v>202738</v>
      </c>
      <c r="T569" s="638">
        <f t="shared" si="171"/>
        <v>202738</v>
      </c>
      <c r="U569" s="322">
        <v>211</v>
      </c>
      <c r="V569" s="80">
        <f t="shared" si="175"/>
        <v>6757.9333333333334</v>
      </c>
      <c r="W569" s="79"/>
      <c r="X569" s="322"/>
      <c r="Y569" s="79"/>
      <c r="Z569" s="322"/>
      <c r="AA569" s="79"/>
      <c r="AB569" s="322"/>
      <c r="AC569" s="79"/>
      <c r="AD569" s="322"/>
      <c r="AE569" s="323">
        <f t="shared" si="162"/>
        <v>0</v>
      </c>
      <c r="AF569" s="638">
        <f t="shared" si="172"/>
        <v>0</v>
      </c>
      <c r="AG569" s="322"/>
      <c r="AH569" s="90">
        <f t="shared" si="163"/>
        <v>0</v>
      </c>
      <c r="AI569" s="80">
        <f t="shared" si="164"/>
        <v>0</v>
      </c>
      <c r="AJ569" s="638">
        <f t="shared" si="173"/>
        <v>0</v>
      </c>
      <c r="AK569" s="322"/>
      <c r="AL569" s="80">
        <f t="shared" si="165"/>
        <v>0</v>
      </c>
      <c r="AM569" s="79"/>
      <c r="AN569" s="322"/>
      <c r="AO569" s="79">
        <v>8870</v>
      </c>
      <c r="AP569" s="322">
        <v>9277</v>
      </c>
      <c r="AQ569" s="79">
        <v>9285</v>
      </c>
      <c r="AR569" s="322">
        <v>9321</v>
      </c>
      <c r="AS569" s="79">
        <v>9047</v>
      </c>
      <c r="AT569" s="322">
        <v>9532</v>
      </c>
      <c r="AU569" s="325">
        <f t="shared" si="166"/>
        <v>27202</v>
      </c>
      <c r="AV569" s="90">
        <f t="shared" si="176"/>
        <v>1133.4166666666667</v>
      </c>
      <c r="AW569" s="324">
        <f t="shared" si="167"/>
        <v>28130</v>
      </c>
      <c r="AX569" s="80">
        <f t="shared" si="177"/>
        <v>1172.0833333333333</v>
      </c>
      <c r="AY569" s="326">
        <f t="shared" si="168"/>
        <v>7989.7166666666672</v>
      </c>
      <c r="AZ569" s="80">
        <f t="shared" si="169"/>
        <v>7930.0166666666664</v>
      </c>
    </row>
    <row r="570" spans="1:52">
      <c r="A570" s="170" t="s">
        <v>306</v>
      </c>
      <c r="B570" s="213" t="s">
        <v>323</v>
      </c>
      <c r="C570" s="229">
        <v>224554</v>
      </c>
      <c r="D570" s="165">
        <v>3</v>
      </c>
      <c r="E570" s="162" t="s">
        <v>442</v>
      </c>
      <c r="F570" s="163" t="s">
        <v>442</v>
      </c>
      <c r="G570" s="79"/>
      <c r="H570" s="322"/>
      <c r="I570" s="79">
        <v>61029</v>
      </c>
      <c r="J570" s="322">
        <v>53877</v>
      </c>
      <c r="K570" s="79">
        <v>14742</v>
      </c>
      <c r="L570" s="322">
        <v>16398</v>
      </c>
      <c r="M570" s="79">
        <v>62487</v>
      </c>
      <c r="N570" s="322">
        <v>59701</v>
      </c>
      <c r="O570" s="323">
        <f t="shared" si="160"/>
        <v>138258</v>
      </c>
      <c r="P570" s="638">
        <f t="shared" si="170"/>
        <v>138258</v>
      </c>
      <c r="Q570" s="322">
        <v>466</v>
      </c>
      <c r="R570" s="90">
        <f t="shared" si="174"/>
        <v>4608.6000000000004</v>
      </c>
      <c r="S570" s="324">
        <f t="shared" si="161"/>
        <v>129976</v>
      </c>
      <c r="T570" s="638">
        <f t="shared" si="171"/>
        <v>129976</v>
      </c>
      <c r="U570" s="322">
        <v>176</v>
      </c>
      <c r="V570" s="80">
        <f t="shared" si="175"/>
        <v>4332.5333333333338</v>
      </c>
      <c r="W570" s="79"/>
      <c r="X570" s="322"/>
      <c r="Y570" s="79"/>
      <c r="Z570" s="322"/>
      <c r="AA570" s="79"/>
      <c r="AB570" s="322"/>
      <c r="AC570" s="79"/>
      <c r="AD570" s="322"/>
      <c r="AE570" s="323">
        <f t="shared" si="162"/>
        <v>0</v>
      </c>
      <c r="AF570" s="638">
        <f t="shared" si="172"/>
        <v>0</v>
      </c>
      <c r="AG570" s="322"/>
      <c r="AH570" s="90">
        <f t="shared" si="163"/>
        <v>0</v>
      </c>
      <c r="AI570" s="80">
        <f t="shared" si="164"/>
        <v>0</v>
      </c>
      <c r="AJ570" s="638">
        <f t="shared" si="173"/>
        <v>0</v>
      </c>
      <c r="AK570" s="322"/>
      <c r="AL570" s="80">
        <f t="shared" si="165"/>
        <v>0</v>
      </c>
      <c r="AM570" s="79"/>
      <c r="AN570" s="322"/>
      <c r="AO570" s="79">
        <v>22056</v>
      </c>
      <c r="AP570" s="322">
        <v>20309</v>
      </c>
      <c r="AQ570" s="79">
        <v>15716</v>
      </c>
      <c r="AR570" s="322">
        <v>19304</v>
      </c>
      <c r="AS570" s="79">
        <v>20997</v>
      </c>
      <c r="AT570" s="322">
        <v>22425</v>
      </c>
      <c r="AU570" s="325">
        <f t="shared" si="166"/>
        <v>58769</v>
      </c>
      <c r="AV570" s="90">
        <f t="shared" si="176"/>
        <v>2448.7083333333335</v>
      </c>
      <c r="AW570" s="324">
        <f t="shared" si="167"/>
        <v>62038</v>
      </c>
      <c r="AX570" s="80">
        <f t="shared" si="177"/>
        <v>2584.9166666666665</v>
      </c>
      <c r="AY570" s="326">
        <f t="shared" si="168"/>
        <v>7057.3083333333343</v>
      </c>
      <c r="AZ570" s="80">
        <f t="shared" si="169"/>
        <v>6917.4500000000007</v>
      </c>
    </row>
    <row r="571" spans="1:52">
      <c r="A571" s="170" t="s">
        <v>306</v>
      </c>
      <c r="B571" s="170" t="s">
        <v>324</v>
      </c>
      <c r="C571" s="229">
        <v>224147</v>
      </c>
      <c r="D571" s="165">
        <v>3</v>
      </c>
      <c r="E571" s="162" t="s">
        <v>442</v>
      </c>
      <c r="F571" s="163" t="s">
        <v>442</v>
      </c>
      <c r="G571" s="79"/>
      <c r="H571" s="322"/>
      <c r="I571" s="79">
        <v>79798</v>
      </c>
      <c r="J571" s="322">
        <v>74951</v>
      </c>
      <c r="K571" s="79">
        <v>26349</v>
      </c>
      <c r="L571" s="322">
        <v>23383</v>
      </c>
      <c r="M571" s="79">
        <v>83987</v>
      </c>
      <c r="N571" s="322">
        <v>89351</v>
      </c>
      <c r="O571" s="323">
        <f t="shared" si="160"/>
        <v>190134</v>
      </c>
      <c r="P571" s="638">
        <f t="shared" si="170"/>
        <v>190134</v>
      </c>
      <c r="Q571" s="322">
        <v>0</v>
      </c>
      <c r="R571" s="90">
        <f t="shared" si="174"/>
        <v>6337.8</v>
      </c>
      <c r="S571" s="324">
        <f t="shared" si="161"/>
        <v>187685</v>
      </c>
      <c r="T571" s="638">
        <f t="shared" si="171"/>
        <v>187685</v>
      </c>
      <c r="U571" s="322">
        <v>900</v>
      </c>
      <c r="V571" s="80">
        <f t="shared" si="175"/>
        <v>6256.166666666667</v>
      </c>
      <c r="W571" s="79"/>
      <c r="X571" s="322"/>
      <c r="Y571" s="79"/>
      <c r="Z571" s="322"/>
      <c r="AA571" s="79"/>
      <c r="AB571" s="322"/>
      <c r="AC571" s="79"/>
      <c r="AD571" s="322"/>
      <c r="AE571" s="323">
        <f t="shared" si="162"/>
        <v>0</v>
      </c>
      <c r="AF571" s="638">
        <f t="shared" si="172"/>
        <v>0</v>
      </c>
      <c r="AG571" s="322"/>
      <c r="AH571" s="90">
        <f t="shared" si="163"/>
        <v>0</v>
      </c>
      <c r="AI571" s="80">
        <f t="shared" si="164"/>
        <v>0</v>
      </c>
      <c r="AJ571" s="638">
        <f t="shared" si="173"/>
        <v>0</v>
      </c>
      <c r="AK571" s="322"/>
      <c r="AL571" s="80">
        <f t="shared" si="165"/>
        <v>0</v>
      </c>
      <c r="AM571" s="79"/>
      <c r="AN571" s="322"/>
      <c r="AO571" s="79">
        <v>9590</v>
      </c>
      <c r="AP571" s="322">
        <v>7877</v>
      </c>
      <c r="AQ571" s="79">
        <v>6522</v>
      </c>
      <c r="AR571" s="322">
        <v>7347</v>
      </c>
      <c r="AS571" s="79">
        <v>9504</v>
      </c>
      <c r="AT571" s="322">
        <v>10249</v>
      </c>
      <c r="AU571" s="325">
        <f t="shared" si="166"/>
        <v>25616</v>
      </c>
      <c r="AV571" s="90">
        <f t="shared" si="176"/>
        <v>1067.3333333333333</v>
      </c>
      <c r="AW571" s="324">
        <f t="shared" si="167"/>
        <v>25473</v>
      </c>
      <c r="AX571" s="80">
        <f t="shared" si="177"/>
        <v>1061.375</v>
      </c>
      <c r="AY571" s="326">
        <f t="shared" si="168"/>
        <v>7405.1333333333332</v>
      </c>
      <c r="AZ571" s="80">
        <f t="shared" si="169"/>
        <v>7317.541666666667</v>
      </c>
    </row>
    <row r="572" spans="1:52">
      <c r="A572" s="170" t="s">
        <v>306</v>
      </c>
      <c r="B572" s="170" t="s">
        <v>325</v>
      </c>
      <c r="C572" s="229">
        <v>228705</v>
      </c>
      <c r="D572" s="165">
        <v>3</v>
      </c>
      <c r="E572" s="162" t="s">
        <v>442</v>
      </c>
      <c r="F572" s="163" t="s">
        <v>442</v>
      </c>
      <c r="G572" s="79"/>
      <c r="H572" s="322"/>
      <c r="I572" s="79">
        <v>54521</v>
      </c>
      <c r="J572" s="322">
        <v>55409</v>
      </c>
      <c r="K572" s="79">
        <v>15707</v>
      </c>
      <c r="L572" s="322">
        <v>15614</v>
      </c>
      <c r="M572" s="79">
        <v>58224</v>
      </c>
      <c r="N572" s="322">
        <v>64697</v>
      </c>
      <c r="O572" s="323">
        <f t="shared" si="160"/>
        <v>128452</v>
      </c>
      <c r="P572" s="638">
        <f t="shared" si="170"/>
        <v>128452</v>
      </c>
      <c r="Q572" s="322">
        <v>0</v>
      </c>
      <c r="R572" s="90">
        <f t="shared" si="174"/>
        <v>4281.7333333333336</v>
      </c>
      <c r="S572" s="324">
        <f t="shared" si="161"/>
        <v>135720</v>
      </c>
      <c r="T572" s="638">
        <f t="shared" si="171"/>
        <v>135720</v>
      </c>
      <c r="U572" s="322">
        <v>0</v>
      </c>
      <c r="V572" s="80">
        <f t="shared" si="175"/>
        <v>4524</v>
      </c>
      <c r="W572" s="79"/>
      <c r="X572" s="322"/>
      <c r="Y572" s="79"/>
      <c r="Z572" s="322"/>
      <c r="AA572" s="79"/>
      <c r="AB572" s="322"/>
      <c r="AC572" s="79"/>
      <c r="AD572" s="322"/>
      <c r="AE572" s="323">
        <f t="shared" si="162"/>
        <v>0</v>
      </c>
      <c r="AF572" s="638">
        <f t="shared" si="172"/>
        <v>0</v>
      </c>
      <c r="AG572" s="322"/>
      <c r="AH572" s="90">
        <f t="shared" si="163"/>
        <v>0</v>
      </c>
      <c r="AI572" s="80">
        <f t="shared" si="164"/>
        <v>0</v>
      </c>
      <c r="AJ572" s="638">
        <f t="shared" si="173"/>
        <v>0</v>
      </c>
      <c r="AK572" s="322"/>
      <c r="AL572" s="80">
        <f t="shared" si="165"/>
        <v>0</v>
      </c>
      <c r="AM572" s="79"/>
      <c r="AN572" s="322"/>
      <c r="AO572" s="79">
        <v>10813</v>
      </c>
      <c r="AP572" s="322">
        <v>10664</v>
      </c>
      <c r="AQ572" s="79">
        <v>8104</v>
      </c>
      <c r="AR572" s="322">
        <v>7208</v>
      </c>
      <c r="AS572" s="79">
        <v>10781</v>
      </c>
      <c r="AT572" s="322">
        <v>11072</v>
      </c>
      <c r="AU572" s="325">
        <f t="shared" si="166"/>
        <v>29698</v>
      </c>
      <c r="AV572" s="90">
        <f t="shared" si="176"/>
        <v>1237.4166666666667</v>
      </c>
      <c r="AW572" s="324">
        <f t="shared" si="167"/>
        <v>28944</v>
      </c>
      <c r="AX572" s="80">
        <f t="shared" si="177"/>
        <v>1206</v>
      </c>
      <c r="AY572" s="326">
        <f t="shared" si="168"/>
        <v>5519.1500000000005</v>
      </c>
      <c r="AZ572" s="80">
        <f t="shared" si="169"/>
        <v>5730</v>
      </c>
    </row>
    <row r="573" spans="1:52">
      <c r="A573" s="170" t="s">
        <v>306</v>
      </c>
      <c r="B573" s="170" t="s">
        <v>326</v>
      </c>
      <c r="C573" s="229">
        <v>229063</v>
      </c>
      <c r="D573" s="165">
        <v>3</v>
      </c>
      <c r="E573" s="162" t="s">
        <v>442</v>
      </c>
      <c r="F573" s="163" t="s">
        <v>442</v>
      </c>
      <c r="G573" s="79"/>
      <c r="H573" s="322"/>
      <c r="I573" s="79">
        <v>97734</v>
      </c>
      <c r="J573" s="322">
        <v>82479</v>
      </c>
      <c r="K573" s="79">
        <v>9376</v>
      </c>
      <c r="L573" s="322">
        <v>11464</v>
      </c>
      <c r="M573" s="79">
        <v>91002</v>
      </c>
      <c r="N573" s="322">
        <v>86820</v>
      </c>
      <c r="O573" s="323">
        <f t="shared" si="160"/>
        <v>198112</v>
      </c>
      <c r="P573" s="638">
        <f t="shared" si="170"/>
        <v>198112</v>
      </c>
      <c r="Q573" s="322">
        <v>0</v>
      </c>
      <c r="R573" s="90">
        <f t="shared" si="174"/>
        <v>6603.7333333333336</v>
      </c>
      <c r="S573" s="324">
        <f t="shared" si="161"/>
        <v>180763</v>
      </c>
      <c r="T573" s="638">
        <f t="shared" si="171"/>
        <v>180763</v>
      </c>
      <c r="U573" s="322">
        <v>0</v>
      </c>
      <c r="V573" s="80">
        <f t="shared" si="175"/>
        <v>6025.4333333333334</v>
      </c>
      <c r="W573" s="79"/>
      <c r="X573" s="322"/>
      <c r="Y573" s="79"/>
      <c r="Z573" s="322"/>
      <c r="AA573" s="79"/>
      <c r="AB573" s="322"/>
      <c r="AC573" s="79"/>
      <c r="AD573" s="322"/>
      <c r="AE573" s="323">
        <f t="shared" si="162"/>
        <v>0</v>
      </c>
      <c r="AF573" s="638">
        <f t="shared" si="172"/>
        <v>0</v>
      </c>
      <c r="AG573" s="322"/>
      <c r="AH573" s="90">
        <f t="shared" si="163"/>
        <v>0</v>
      </c>
      <c r="AI573" s="80">
        <f t="shared" si="164"/>
        <v>0</v>
      </c>
      <c r="AJ573" s="638">
        <f t="shared" si="173"/>
        <v>0</v>
      </c>
      <c r="AK573" s="322"/>
      <c r="AL573" s="80">
        <f t="shared" si="165"/>
        <v>0</v>
      </c>
      <c r="AM573" s="79"/>
      <c r="AN573" s="322"/>
      <c r="AO573" s="79">
        <v>21282</v>
      </c>
      <c r="AP573" s="322">
        <v>19946</v>
      </c>
      <c r="AQ573" s="79">
        <v>4497</v>
      </c>
      <c r="AR573" s="322">
        <v>4264</v>
      </c>
      <c r="AS573" s="79">
        <v>20716</v>
      </c>
      <c r="AT573" s="322">
        <v>19883</v>
      </c>
      <c r="AU573" s="325">
        <f t="shared" si="166"/>
        <v>46495</v>
      </c>
      <c r="AV573" s="90">
        <f t="shared" si="176"/>
        <v>1937.2916666666667</v>
      </c>
      <c r="AW573" s="324">
        <f t="shared" si="167"/>
        <v>44093</v>
      </c>
      <c r="AX573" s="80">
        <f t="shared" si="177"/>
        <v>1837.2083333333333</v>
      </c>
      <c r="AY573" s="326">
        <f t="shared" si="168"/>
        <v>8541.0249999999996</v>
      </c>
      <c r="AZ573" s="80">
        <f t="shared" si="169"/>
        <v>7862.6416666666664</v>
      </c>
    </row>
    <row r="574" spans="1:52">
      <c r="A574" s="170" t="s">
        <v>306</v>
      </c>
      <c r="B574" s="214" t="s">
        <v>327</v>
      </c>
      <c r="C574" s="229">
        <v>228459</v>
      </c>
      <c r="D574" s="165">
        <v>3</v>
      </c>
      <c r="E574" s="162" t="s">
        <v>442</v>
      </c>
      <c r="F574" s="163" t="s">
        <v>442</v>
      </c>
      <c r="G574" s="79"/>
      <c r="H574" s="322"/>
      <c r="I574" s="79">
        <v>277580</v>
      </c>
      <c r="J574" s="322">
        <v>281890</v>
      </c>
      <c r="K574" s="79">
        <v>66372</v>
      </c>
      <c r="L574" s="322">
        <v>67091</v>
      </c>
      <c r="M574" s="79">
        <v>305424</v>
      </c>
      <c r="N574" s="322">
        <v>312589</v>
      </c>
      <c r="O574" s="323">
        <f t="shared" si="160"/>
        <v>649376</v>
      </c>
      <c r="P574" s="638">
        <f t="shared" si="170"/>
        <v>649376</v>
      </c>
      <c r="Q574" s="322">
        <v>11</v>
      </c>
      <c r="R574" s="90">
        <f t="shared" si="174"/>
        <v>21645.866666666665</v>
      </c>
      <c r="S574" s="324">
        <f t="shared" si="161"/>
        <v>661570</v>
      </c>
      <c r="T574" s="638">
        <f t="shared" si="171"/>
        <v>661570</v>
      </c>
      <c r="U574" s="322">
        <v>3</v>
      </c>
      <c r="V574" s="80">
        <f t="shared" si="175"/>
        <v>22052.333333333332</v>
      </c>
      <c r="W574" s="79"/>
      <c r="X574" s="322"/>
      <c r="Y574" s="79"/>
      <c r="Z574" s="322"/>
      <c r="AA574" s="79"/>
      <c r="AB574" s="322"/>
      <c r="AC574" s="79"/>
      <c r="AD574" s="322"/>
      <c r="AE574" s="323">
        <f t="shared" si="162"/>
        <v>0</v>
      </c>
      <c r="AF574" s="638">
        <f t="shared" si="172"/>
        <v>0</v>
      </c>
      <c r="AG574" s="322"/>
      <c r="AH574" s="90">
        <f t="shared" si="163"/>
        <v>0</v>
      </c>
      <c r="AI574" s="80">
        <f t="shared" si="164"/>
        <v>0</v>
      </c>
      <c r="AJ574" s="638">
        <f t="shared" si="173"/>
        <v>0</v>
      </c>
      <c r="AK574" s="322"/>
      <c r="AL574" s="80">
        <f t="shared" si="165"/>
        <v>0</v>
      </c>
      <c r="AM574" s="79"/>
      <c r="AN574" s="322"/>
      <c r="AO574" s="79">
        <v>23579</v>
      </c>
      <c r="AP574" s="322">
        <v>24723</v>
      </c>
      <c r="AQ574" s="79">
        <v>13079</v>
      </c>
      <c r="AR574" s="322">
        <v>13210</v>
      </c>
      <c r="AS574" s="79">
        <v>26088</v>
      </c>
      <c r="AT574" s="322">
        <v>27884</v>
      </c>
      <c r="AU574" s="325">
        <f t="shared" si="166"/>
        <v>62746</v>
      </c>
      <c r="AV574" s="90">
        <f t="shared" si="176"/>
        <v>2614.4166666666665</v>
      </c>
      <c r="AW574" s="324">
        <f t="shared" si="167"/>
        <v>65817</v>
      </c>
      <c r="AX574" s="80">
        <f t="shared" si="177"/>
        <v>2742.375</v>
      </c>
      <c r="AY574" s="326">
        <f t="shared" si="168"/>
        <v>24260.283333333333</v>
      </c>
      <c r="AZ574" s="80">
        <f t="shared" si="169"/>
        <v>24794.708333333332</v>
      </c>
    </row>
    <row r="575" spans="1:52">
      <c r="A575" s="170" t="s">
        <v>306</v>
      </c>
      <c r="B575" s="170" t="s">
        <v>328</v>
      </c>
      <c r="C575" s="229">
        <v>225414</v>
      </c>
      <c r="D575" s="168">
        <v>3</v>
      </c>
      <c r="E575" s="162" t="s">
        <v>442</v>
      </c>
      <c r="F575" s="163" t="s">
        <v>442</v>
      </c>
      <c r="G575" s="79"/>
      <c r="H575" s="322"/>
      <c r="I575" s="79">
        <v>40319</v>
      </c>
      <c r="J575" s="322">
        <v>39132</v>
      </c>
      <c r="K575" s="79">
        <v>12709</v>
      </c>
      <c r="L575" s="322">
        <v>13018</v>
      </c>
      <c r="M575" s="79">
        <v>39693</v>
      </c>
      <c r="N575" s="322">
        <v>40872</v>
      </c>
      <c r="O575" s="323">
        <f t="shared" si="160"/>
        <v>92721</v>
      </c>
      <c r="P575" s="638">
        <f t="shared" si="170"/>
        <v>92721</v>
      </c>
      <c r="Q575" s="322">
        <v>0</v>
      </c>
      <c r="R575" s="90">
        <f t="shared" si="174"/>
        <v>3090.7</v>
      </c>
      <c r="S575" s="324">
        <f t="shared" si="161"/>
        <v>93022</v>
      </c>
      <c r="T575" s="638">
        <f t="shared" si="171"/>
        <v>93022</v>
      </c>
      <c r="U575" s="322">
        <v>0</v>
      </c>
      <c r="V575" s="80">
        <f t="shared" si="175"/>
        <v>3100.7333333333331</v>
      </c>
      <c r="W575" s="79"/>
      <c r="X575" s="322"/>
      <c r="Y575" s="79"/>
      <c r="Z575" s="322"/>
      <c r="AA575" s="79"/>
      <c r="AB575" s="322"/>
      <c r="AC575" s="79"/>
      <c r="AD575" s="322"/>
      <c r="AE575" s="323">
        <f t="shared" si="162"/>
        <v>0</v>
      </c>
      <c r="AF575" s="638">
        <f t="shared" si="172"/>
        <v>0</v>
      </c>
      <c r="AG575" s="322"/>
      <c r="AH575" s="90">
        <f t="shared" si="163"/>
        <v>0</v>
      </c>
      <c r="AI575" s="80">
        <f t="shared" si="164"/>
        <v>0</v>
      </c>
      <c r="AJ575" s="638">
        <f t="shared" si="173"/>
        <v>0</v>
      </c>
      <c r="AK575" s="322"/>
      <c r="AL575" s="80">
        <f t="shared" si="165"/>
        <v>0</v>
      </c>
      <c r="AM575" s="79"/>
      <c r="AN575" s="322"/>
      <c r="AO575" s="79">
        <v>22009</v>
      </c>
      <c r="AP575" s="322">
        <v>21607</v>
      </c>
      <c r="AQ575" s="79">
        <v>10649</v>
      </c>
      <c r="AR575" s="322">
        <v>10961</v>
      </c>
      <c r="AS575" s="79">
        <v>21263</v>
      </c>
      <c r="AT575" s="322">
        <v>22301</v>
      </c>
      <c r="AU575" s="325">
        <f t="shared" si="166"/>
        <v>53921</v>
      </c>
      <c r="AV575" s="90">
        <f t="shared" si="176"/>
        <v>2246.7083333333335</v>
      </c>
      <c r="AW575" s="324">
        <f t="shared" si="167"/>
        <v>54869</v>
      </c>
      <c r="AX575" s="80">
        <f t="shared" si="177"/>
        <v>2286.2083333333335</v>
      </c>
      <c r="AY575" s="326">
        <f t="shared" si="168"/>
        <v>5337.4083333333328</v>
      </c>
      <c r="AZ575" s="80">
        <f t="shared" si="169"/>
        <v>5386.9416666666666</v>
      </c>
    </row>
    <row r="576" spans="1:52">
      <c r="A576" s="170" t="s">
        <v>306</v>
      </c>
      <c r="B576" s="390" t="s">
        <v>330</v>
      </c>
      <c r="C576" s="401">
        <v>229027</v>
      </c>
      <c r="D576" s="169">
        <v>3</v>
      </c>
      <c r="E576" s="162" t="s">
        <v>442</v>
      </c>
      <c r="F576" s="163" t="s">
        <v>442</v>
      </c>
      <c r="G576" s="79"/>
      <c r="H576" s="322"/>
      <c r="I576" s="79">
        <v>259509</v>
      </c>
      <c r="J576" s="322">
        <v>262253</v>
      </c>
      <c r="K576" s="79">
        <v>52082</v>
      </c>
      <c r="L576" s="322">
        <v>53739</v>
      </c>
      <c r="M576" s="79">
        <v>288193</v>
      </c>
      <c r="N576" s="322">
        <v>290973</v>
      </c>
      <c r="O576" s="323">
        <f t="shared" si="160"/>
        <v>599784</v>
      </c>
      <c r="P576" s="638">
        <f t="shared" si="170"/>
        <v>599784</v>
      </c>
      <c r="Q576" s="322">
        <v>4875</v>
      </c>
      <c r="R576" s="90">
        <f t="shared" si="174"/>
        <v>19992.8</v>
      </c>
      <c r="S576" s="324">
        <f t="shared" si="161"/>
        <v>606965</v>
      </c>
      <c r="T576" s="638">
        <f t="shared" si="171"/>
        <v>606965</v>
      </c>
      <c r="U576" s="322">
        <v>4911</v>
      </c>
      <c r="V576" s="80">
        <f t="shared" si="175"/>
        <v>20232.166666666668</v>
      </c>
      <c r="W576" s="79"/>
      <c r="X576" s="322"/>
      <c r="Y576" s="79"/>
      <c r="Z576" s="322"/>
      <c r="AA576" s="79"/>
      <c r="AB576" s="322"/>
      <c r="AC576" s="79"/>
      <c r="AD576" s="322"/>
      <c r="AE576" s="323">
        <f t="shared" si="162"/>
        <v>0</v>
      </c>
      <c r="AF576" s="638">
        <f t="shared" si="172"/>
        <v>0</v>
      </c>
      <c r="AG576" s="322"/>
      <c r="AH576" s="90">
        <f t="shared" si="163"/>
        <v>0</v>
      </c>
      <c r="AI576" s="80">
        <f t="shared" si="164"/>
        <v>0</v>
      </c>
      <c r="AJ576" s="638">
        <f t="shared" si="173"/>
        <v>0</v>
      </c>
      <c r="AK576" s="322"/>
      <c r="AL576" s="80">
        <f t="shared" si="165"/>
        <v>0</v>
      </c>
      <c r="AM576" s="79"/>
      <c r="AN576" s="322"/>
      <c r="AO576" s="79">
        <v>22746</v>
      </c>
      <c r="AP576" s="322">
        <v>21678</v>
      </c>
      <c r="AQ576" s="79">
        <v>9499</v>
      </c>
      <c r="AR576" s="322">
        <v>8291</v>
      </c>
      <c r="AS576" s="79">
        <v>22599</v>
      </c>
      <c r="AT576" s="322">
        <v>22839</v>
      </c>
      <c r="AU576" s="325">
        <f t="shared" si="166"/>
        <v>54844</v>
      </c>
      <c r="AV576" s="90">
        <f t="shared" si="176"/>
        <v>2285.1666666666665</v>
      </c>
      <c r="AW576" s="324">
        <f t="shared" si="167"/>
        <v>52808</v>
      </c>
      <c r="AX576" s="80">
        <f t="shared" si="177"/>
        <v>2200.3333333333335</v>
      </c>
      <c r="AY576" s="326">
        <f t="shared" si="168"/>
        <v>22277.966666666667</v>
      </c>
      <c r="AZ576" s="80">
        <f t="shared" si="169"/>
        <v>22432.5</v>
      </c>
    </row>
    <row r="577" spans="1:52">
      <c r="A577" s="170" t="s">
        <v>306</v>
      </c>
      <c r="B577" s="170" t="s">
        <v>331</v>
      </c>
      <c r="C577" s="229">
        <v>228802</v>
      </c>
      <c r="D577" s="168">
        <v>3</v>
      </c>
      <c r="E577" s="162" t="s">
        <v>442</v>
      </c>
      <c r="F577" s="163" t="s">
        <v>442</v>
      </c>
      <c r="G577" s="79"/>
      <c r="H577" s="322"/>
      <c r="I577" s="79">
        <v>57009</v>
      </c>
      <c r="J577" s="322">
        <v>58962</v>
      </c>
      <c r="K577" s="79">
        <v>8097</v>
      </c>
      <c r="L577" s="322">
        <v>8235</v>
      </c>
      <c r="M577" s="79">
        <v>63527</v>
      </c>
      <c r="N577" s="322">
        <v>62715</v>
      </c>
      <c r="O577" s="323">
        <f t="shared" si="160"/>
        <v>128633</v>
      </c>
      <c r="P577" s="638">
        <f t="shared" si="170"/>
        <v>128633</v>
      </c>
      <c r="Q577" s="322">
        <v>0</v>
      </c>
      <c r="R577" s="90">
        <f t="shared" si="174"/>
        <v>4287.7666666666664</v>
      </c>
      <c r="S577" s="324">
        <f t="shared" si="161"/>
        <v>129912</v>
      </c>
      <c r="T577" s="638">
        <f t="shared" si="171"/>
        <v>129912</v>
      </c>
      <c r="U577" s="322">
        <v>0</v>
      </c>
      <c r="V577" s="80">
        <f t="shared" si="175"/>
        <v>4330.3999999999996</v>
      </c>
      <c r="W577" s="79"/>
      <c r="X577" s="322"/>
      <c r="Y577" s="79"/>
      <c r="Z577" s="322"/>
      <c r="AA577" s="79"/>
      <c r="AB577" s="322"/>
      <c r="AC577" s="79"/>
      <c r="AD577" s="322"/>
      <c r="AE577" s="323">
        <f t="shared" si="162"/>
        <v>0</v>
      </c>
      <c r="AF577" s="638">
        <f t="shared" si="172"/>
        <v>0</v>
      </c>
      <c r="AG577" s="322"/>
      <c r="AH577" s="90">
        <f t="shared" si="163"/>
        <v>0</v>
      </c>
      <c r="AI577" s="80">
        <f t="shared" si="164"/>
        <v>0</v>
      </c>
      <c r="AJ577" s="638">
        <f t="shared" si="173"/>
        <v>0</v>
      </c>
      <c r="AK577" s="322"/>
      <c r="AL577" s="80">
        <f t="shared" si="165"/>
        <v>0</v>
      </c>
      <c r="AM577" s="79"/>
      <c r="AN577" s="322"/>
      <c r="AO577" s="79">
        <v>4987</v>
      </c>
      <c r="AP577" s="322">
        <v>5378</v>
      </c>
      <c r="AQ577" s="79">
        <v>2721</v>
      </c>
      <c r="AR577" s="322">
        <v>2592</v>
      </c>
      <c r="AS577" s="79">
        <v>5230</v>
      </c>
      <c r="AT577" s="322">
        <v>5325</v>
      </c>
      <c r="AU577" s="325">
        <f t="shared" si="166"/>
        <v>12938</v>
      </c>
      <c r="AV577" s="90">
        <f t="shared" si="176"/>
        <v>539.08333333333337</v>
      </c>
      <c r="AW577" s="324">
        <f t="shared" si="167"/>
        <v>13295</v>
      </c>
      <c r="AX577" s="80">
        <f t="shared" si="177"/>
        <v>553.95833333333337</v>
      </c>
      <c r="AY577" s="326">
        <f t="shared" si="168"/>
        <v>4826.8499999999995</v>
      </c>
      <c r="AZ577" s="80">
        <f t="shared" si="169"/>
        <v>4884.3583333333327</v>
      </c>
    </row>
    <row r="578" spans="1:52">
      <c r="A578" s="170" t="s">
        <v>306</v>
      </c>
      <c r="B578" s="170" t="s">
        <v>332</v>
      </c>
      <c r="C578" s="229">
        <v>227368</v>
      </c>
      <c r="D578" s="168">
        <v>3</v>
      </c>
      <c r="E578" s="162" t="s">
        <v>442</v>
      </c>
      <c r="F578" s="163" t="s">
        <v>442</v>
      </c>
      <c r="G578" s="79"/>
      <c r="H578" s="322"/>
      <c r="I578" s="79">
        <v>162889</v>
      </c>
      <c r="J578" s="322">
        <v>165673</v>
      </c>
      <c r="K578" s="79">
        <v>66838</v>
      </c>
      <c r="L578" s="322">
        <v>64108</v>
      </c>
      <c r="M578" s="79">
        <v>179479</v>
      </c>
      <c r="N578" s="322">
        <v>178269</v>
      </c>
      <c r="O578" s="323">
        <f t="shared" si="160"/>
        <v>409206</v>
      </c>
      <c r="P578" s="638">
        <f t="shared" si="170"/>
        <v>409206</v>
      </c>
      <c r="Q578" s="322">
        <v>716</v>
      </c>
      <c r="R578" s="90">
        <f t="shared" si="174"/>
        <v>13640.2</v>
      </c>
      <c r="S578" s="324">
        <f t="shared" si="161"/>
        <v>408050</v>
      </c>
      <c r="T578" s="638">
        <f t="shared" si="171"/>
        <v>408050</v>
      </c>
      <c r="U578" s="322">
        <v>1243</v>
      </c>
      <c r="V578" s="80">
        <f t="shared" si="175"/>
        <v>13601.666666666666</v>
      </c>
      <c r="W578" s="79"/>
      <c r="X578" s="322"/>
      <c r="Y578" s="79"/>
      <c r="Z578" s="322"/>
      <c r="AA578" s="79"/>
      <c r="AB578" s="322"/>
      <c r="AC578" s="79"/>
      <c r="AD578" s="322"/>
      <c r="AE578" s="323">
        <f t="shared" si="162"/>
        <v>0</v>
      </c>
      <c r="AF578" s="638">
        <f t="shared" si="172"/>
        <v>0</v>
      </c>
      <c r="AG578" s="322"/>
      <c r="AH578" s="90">
        <f t="shared" si="163"/>
        <v>0</v>
      </c>
      <c r="AI578" s="80">
        <f t="shared" si="164"/>
        <v>0</v>
      </c>
      <c r="AJ578" s="638">
        <f t="shared" si="173"/>
        <v>0</v>
      </c>
      <c r="AK578" s="322"/>
      <c r="AL578" s="80">
        <f t="shared" si="165"/>
        <v>0</v>
      </c>
      <c r="AM578" s="79"/>
      <c r="AN578" s="322"/>
      <c r="AO578" s="79">
        <v>13901</v>
      </c>
      <c r="AP578" s="322">
        <v>13500</v>
      </c>
      <c r="AQ578" s="79">
        <v>7337</v>
      </c>
      <c r="AR578" s="322">
        <v>8186</v>
      </c>
      <c r="AS578" s="79">
        <v>14124</v>
      </c>
      <c r="AT578" s="322">
        <v>14753</v>
      </c>
      <c r="AU578" s="325">
        <f t="shared" si="166"/>
        <v>35362</v>
      </c>
      <c r="AV578" s="90">
        <f t="shared" si="176"/>
        <v>1473.4166666666667</v>
      </c>
      <c r="AW578" s="324">
        <f t="shared" si="167"/>
        <v>36439</v>
      </c>
      <c r="AX578" s="80">
        <f t="shared" si="177"/>
        <v>1518.2916666666667</v>
      </c>
      <c r="AY578" s="326">
        <f t="shared" si="168"/>
        <v>15113.616666666667</v>
      </c>
      <c r="AZ578" s="80">
        <f t="shared" si="169"/>
        <v>15119.958333333332</v>
      </c>
    </row>
    <row r="579" spans="1:52">
      <c r="A579" s="170" t="s">
        <v>306</v>
      </c>
      <c r="B579" s="170" t="s">
        <v>333</v>
      </c>
      <c r="C579" s="229">
        <v>229814</v>
      </c>
      <c r="D579" s="168">
        <v>3</v>
      </c>
      <c r="E579" s="162" t="s">
        <v>442</v>
      </c>
      <c r="F579" s="163" t="s">
        <v>442</v>
      </c>
      <c r="G579" s="79"/>
      <c r="H579" s="322"/>
      <c r="I579" s="79">
        <v>66882</v>
      </c>
      <c r="J579" s="322">
        <v>66314</v>
      </c>
      <c r="K579" s="79">
        <v>15480</v>
      </c>
      <c r="L579" s="322">
        <v>14575</v>
      </c>
      <c r="M579" s="79">
        <v>73049</v>
      </c>
      <c r="N579" s="322">
        <v>76044</v>
      </c>
      <c r="O579" s="323">
        <f t="shared" si="160"/>
        <v>155411</v>
      </c>
      <c r="P579" s="638">
        <f t="shared" si="170"/>
        <v>155411</v>
      </c>
      <c r="Q579" s="322">
        <v>0</v>
      </c>
      <c r="R579" s="90">
        <f t="shared" si="174"/>
        <v>5180.3666666666668</v>
      </c>
      <c r="S579" s="324">
        <f t="shared" si="161"/>
        <v>156933</v>
      </c>
      <c r="T579" s="638">
        <f t="shared" si="171"/>
        <v>156933</v>
      </c>
      <c r="U579" s="322">
        <v>0</v>
      </c>
      <c r="V579" s="80">
        <f t="shared" si="175"/>
        <v>5231.1000000000004</v>
      </c>
      <c r="W579" s="79"/>
      <c r="X579" s="322"/>
      <c r="Y579" s="79"/>
      <c r="Z579" s="322"/>
      <c r="AA579" s="79"/>
      <c r="AB579" s="322"/>
      <c r="AC579" s="79"/>
      <c r="AD579" s="322"/>
      <c r="AE579" s="323">
        <f t="shared" si="162"/>
        <v>0</v>
      </c>
      <c r="AF579" s="638">
        <f t="shared" si="172"/>
        <v>0</v>
      </c>
      <c r="AG579" s="322"/>
      <c r="AH579" s="90">
        <f t="shared" si="163"/>
        <v>0</v>
      </c>
      <c r="AI579" s="80">
        <f t="shared" si="164"/>
        <v>0</v>
      </c>
      <c r="AJ579" s="638">
        <f t="shared" si="173"/>
        <v>0</v>
      </c>
      <c r="AK579" s="322"/>
      <c r="AL579" s="80">
        <f t="shared" si="165"/>
        <v>0</v>
      </c>
      <c r="AM579" s="79"/>
      <c r="AN579" s="322"/>
      <c r="AO579" s="79">
        <v>8230</v>
      </c>
      <c r="AP579" s="322">
        <v>7929</v>
      </c>
      <c r="AQ579" s="79">
        <v>5775</v>
      </c>
      <c r="AR579" s="322">
        <v>5339</v>
      </c>
      <c r="AS579" s="79">
        <v>8529</v>
      </c>
      <c r="AT579" s="322">
        <v>7086</v>
      </c>
      <c r="AU579" s="325">
        <f t="shared" si="166"/>
        <v>22534</v>
      </c>
      <c r="AV579" s="90">
        <f t="shared" si="176"/>
        <v>938.91666666666663</v>
      </c>
      <c r="AW579" s="324">
        <f t="shared" si="167"/>
        <v>20354</v>
      </c>
      <c r="AX579" s="80">
        <f t="shared" si="177"/>
        <v>848.08333333333337</v>
      </c>
      <c r="AY579" s="326">
        <f t="shared" si="168"/>
        <v>6119.2833333333338</v>
      </c>
      <c r="AZ579" s="80">
        <f t="shared" si="169"/>
        <v>6079.1833333333334</v>
      </c>
    </row>
    <row r="580" spans="1:52">
      <c r="A580" s="170" t="s">
        <v>306</v>
      </c>
      <c r="B580" s="170" t="s">
        <v>334</v>
      </c>
      <c r="C580" s="229">
        <v>224545</v>
      </c>
      <c r="D580" s="168">
        <v>4</v>
      </c>
      <c r="E580" s="162" t="s">
        <v>442</v>
      </c>
      <c r="F580" s="163" t="s">
        <v>442</v>
      </c>
      <c r="G580" s="79"/>
      <c r="H580" s="322"/>
      <c r="I580" s="79">
        <v>9741</v>
      </c>
      <c r="J580" s="322">
        <v>9954</v>
      </c>
      <c r="K580" s="79">
        <v>3363</v>
      </c>
      <c r="L580" s="322">
        <v>3270</v>
      </c>
      <c r="M580" s="79">
        <v>9344</v>
      </c>
      <c r="N580" s="322">
        <v>9655</v>
      </c>
      <c r="O580" s="323">
        <f t="shared" ref="O580:O643" si="178">SUM(G580,I580,K580,M580)</f>
        <v>22448</v>
      </c>
      <c r="P580" s="638">
        <f t="shared" si="170"/>
        <v>22448</v>
      </c>
      <c r="Q580" s="322">
        <v>15</v>
      </c>
      <c r="R580" s="90">
        <f t="shared" si="174"/>
        <v>748.26666666666665</v>
      </c>
      <c r="S580" s="324">
        <f t="shared" ref="S580:S643" si="179">SUM(H580,J580,L580,N580)</f>
        <v>22879</v>
      </c>
      <c r="T580" s="638">
        <f t="shared" si="171"/>
        <v>22879</v>
      </c>
      <c r="U580" s="322">
        <v>30</v>
      </c>
      <c r="V580" s="80">
        <f t="shared" si="175"/>
        <v>762.63333333333333</v>
      </c>
      <c r="W580" s="79"/>
      <c r="X580" s="322"/>
      <c r="Y580" s="79"/>
      <c r="Z580" s="322"/>
      <c r="AA580" s="79"/>
      <c r="AB580" s="322"/>
      <c r="AC580" s="79"/>
      <c r="AD580" s="322"/>
      <c r="AE580" s="323">
        <f t="shared" ref="AE580:AE643" si="180">SUM(W580,Y580,AA580,AC580)</f>
        <v>0</v>
      </c>
      <c r="AF580" s="638">
        <f t="shared" si="172"/>
        <v>0</v>
      </c>
      <c r="AG580" s="322"/>
      <c r="AH580" s="90">
        <f t="shared" ref="AH580:AH643" si="181">+AE580/900</f>
        <v>0</v>
      </c>
      <c r="AI580" s="80">
        <f t="shared" ref="AI580:AI643" si="182">SUM(X580,Z580,AB580,AD580)</f>
        <v>0</v>
      </c>
      <c r="AJ580" s="638">
        <f t="shared" si="173"/>
        <v>0</v>
      </c>
      <c r="AK580" s="322"/>
      <c r="AL580" s="80">
        <f t="shared" ref="AL580:AL643" si="183">+AI580/900</f>
        <v>0</v>
      </c>
      <c r="AM580" s="79"/>
      <c r="AN580" s="322"/>
      <c r="AO580" s="79">
        <v>3270</v>
      </c>
      <c r="AP580" s="322">
        <v>3344</v>
      </c>
      <c r="AQ580" s="79">
        <v>2811</v>
      </c>
      <c r="AR580" s="322">
        <v>3348</v>
      </c>
      <c r="AS580" s="79">
        <v>3012</v>
      </c>
      <c r="AT580" s="322">
        <v>2567</v>
      </c>
      <c r="AU580" s="325">
        <f t="shared" ref="AU580:AU643" si="184">SUM(AM580,AO580,AQ580,AS580)</f>
        <v>9093</v>
      </c>
      <c r="AV580" s="90">
        <f t="shared" si="176"/>
        <v>378.875</v>
      </c>
      <c r="AW580" s="324">
        <f t="shared" ref="AW580:AW643" si="185">SUM(AN580,AP580,AR580,AT580)</f>
        <v>9259</v>
      </c>
      <c r="AX580" s="80">
        <f t="shared" si="177"/>
        <v>385.79166666666669</v>
      </c>
      <c r="AY580" s="326">
        <f t="shared" ref="AY580:AY643" si="186">SUM(R580,AH580,AV580)</f>
        <v>1127.1416666666667</v>
      </c>
      <c r="AZ580" s="80">
        <f t="shared" ref="AZ580:AZ643" si="187">SUM(V580,AL580,AX580)</f>
        <v>1148.425</v>
      </c>
    </row>
    <row r="581" spans="1:52">
      <c r="A581" s="170" t="s">
        <v>306</v>
      </c>
      <c r="B581" s="390" t="s">
        <v>288</v>
      </c>
      <c r="C581" s="229">
        <v>226152</v>
      </c>
      <c r="D581" s="165">
        <v>4</v>
      </c>
      <c r="E581" s="162" t="s">
        <v>442</v>
      </c>
      <c r="F581" s="163" t="s">
        <v>442</v>
      </c>
      <c r="G581" s="79"/>
      <c r="H581" s="322"/>
      <c r="I581" s="79">
        <v>40230</v>
      </c>
      <c r="J581" s="322">
        <v>43790</v>
      </c>
      <c r="K581" s="79">
        <v>13861</v>
      </c>
      <c r="L581" s="322">
        <v>14421</v>
      </c>
      <c r="M581" s="79">
        <v>45859</v>
      </c>
      <c r="N581" s="322">
        <v>51429</v>
      </c>
      <c r="O581" s="323">
        <f t="shared" si="178"/>
        <v>99950</v>
      </c>
      <c r="P581" s="638">
        <f t="shared" ref="P581:P644" si="188">IF(Q581="—",0,O581)</f>
        <v>99950</v>
      </c>
      <c r="Q581" s="322">
        <v>2365</v>
      </c>
      <c r="R581" s="90">
        <f t="shared" si="174"/>
        <v>3331.6666666666665</v>
      </c>
      <c r="S581" s="324">
        <f t="shared" si="179"/>
        <v>109640</v>
      </c>
      <c r="T581" s="638">
        <f t="shared" ref="T581:T644" si="189">IF(U581="—",0,S581)</f>
        <v>109640</v>
      </c>
      <c r="U581" s="322">
        <v>4970</v>
      </c>
      <c r="V581" s="80">
        <f t="shared" si="175"/>
        <v>3654.6666666666665</v>
      </c>
      <c r="W581" s="79"/>
      <c r="X581" s="322"/>
      <c r="Y581" s="79"/>
      <c r="Z581" s="322"/>
      <c r="AA581" s="79"/>
      <c r="AB581" s="322"/>
      <c r="AC581" s="79"/>
      <c r="AD581" s="322"/>
      <c r="AE581" s="323">
        <f t="shared" si="180"/>
        <v>0</v>
      </c>
      <c r="AF581" s="638">
        <f t="shared" ref="AF581:AF644" si="190">IF(AG581="—",0,AE581)</f>
        <v>0</v>
      </c>
      <c r="AG581" s="322"/>
      <c r="AH581" s="90">
        <f t="shared" si="181"/>
        <v>0</v>
      </c>
      <c r="AI581" s="80">
        <f t="shared" si="182"/>
        <v>0</v>
      </c>
      <c r="AJ581" s="638">
        <f t="shared" ref="AJ581:AJ644" si="191">IF(AK581="—",0,AI581)</f>
        <v>0</v>
      </c>
      <c r="AK581" s="322"/>
      <c r="AL581" s="80">
        <f t="shared" si="183"/>
        <v>0</v>
      </c>
      <c r="AM581" s="79"/>
      <c r="AN581" s="322"/>
      <c r="AO581" s="79">
        <v>5534</v>
      </c>
      <c r="AP581" s="322">
        <v>5669</v>
      </c>
      <c r="AQ581" s="79">
        <v>3580</v>
      </c>
      <c r="AR581" s="322">
        <v>4013</v>
      </c>
      <c r="AS581" s="79">
        <v>5845</v>
      </c>
      <c r="AT581" s="322">
        <v>5792</v>
      </c>
      <c r="AU581" s="325">
        <f t="shared" si="184"/>
        <v>14959</v>
      </c>
      <c r="AV581" s="90">
        <f t="shared" si="176"/>
        <v>623.29166666666663</v>
      </c>
      <c r="AW581" s="324">
        <f t="shared" si="185"/>
        <v>15474</v>
      </c>
      <c r="AX581" s="80">
        <f t="shared" si="177"/>
        <v>644.75</v>
      </c>
      <c r="AY581" s="326">
        <f t="shared" si="186"/>
        <v>3954.958333333333</v>
      </c>
      <c r="AZ581" s="80">
        <f t="shared" si="187"/>
        <v>4299.4166666666661</v>
      </c>
    </row>
    <row r="582" spans="1:52">
      <c r="A582" s="170" t="s">
        <v>306</v>
      </c>
      <c r="B582" s="390" t="s">
        <v>335</v>
      </c>
      <c r="C582" s="229">
        <v>227377</v>
      </c>
      <c r="D582" s="168">
        <v>4</v>
      </c>
      <c r="E582" s="162" t="s">
        <v>442</v>
      </c>
      <c r="F582" s="163" t="s">
        <v>442</v>
      </c>
      <c r="G582" s="79"/>
      <c r="H582" s="322"/>
      <c r="I582" s="79">
        <v>28648</v>
      </c>
      <c r="J582" s="322">
        <v>32439</v>
      </c>
      <c r="K582" s="79">
        <v>10945</v>
      </c>
      <c r="L582" s="322">
        <v>11934</v>
      </c>
      <c r="M582" s="79">
        <v>36184</v>
      </c>
      <c r="N582" s="322">
        <v>42786</v>
      </c>
      <c r="O582" s="323">
        <f t="shared" si="178"/>
        <v>75777</v>
      </c>
      <c r="P582" s="638">
        <f t="shared" si="188"/>
        <v>75777</v>
      </c>
      <c r="Q582" s="322">
        <v>5855</v>
      </c>
      <c r="R582" s="90">
        <f t="shared" si="174"/>
        <v>2525.9</v>
      </c>
      <c r="S582" s="324">
        <f t="shared" si="179"/>
        <v>87159</v>
      </c>
      <c r="T582" s="638">
        <f t="shared" si="189"/>
        <v>87159</v>
      </c>
      <c r="U582" s="322">
        <v>8030</v>
      </c>
      <c r="V582" s="80">
        <f t="shared" si="175"/>
        <v>2905.3</v>
      </c>
      <c r="W582" s="79"/>
      <c r="X582" s="322"/>
      <c r="Y582" s="79"/>
      <c r="Z582" s="322"/>
      <c r="AA582" s="79"/>
      <c r="AB582" s="322"/>
      <c r="AC582" s="79"/>
      <c r="AD582" s="322"/>
      <c r="AE582" s="323">
        <f t="shared" si="180"/>
        <v>0</v>
      </c>
      <c r="AF582" s="638">
        <f t="shared" si="190"/>
        <v>0</v>
      </c>
      <c r="AG582" s="322"/>
      <c r="AH582" s="90">
        <f t="shared" si="181"/>
        <v>0</v>
      </c>
      <c r="AI582" s="80">
        <f t="shared" si="182"/>
        <v>0</v>
      </c>
      <c r="AJ582" s="638">
        <f t="shared" si="191"/>
        <v>0</v>
      </c>
      <c r="AK582" s="322"/>
      <c r="AL582" s="80">
        <f t="shared" si="183"/>
        <v>0</v>
      </c>
      <c r="AM582" s="79"/>
      <c r="AN582" s="322"/>
      <c r="AO582" s="79">
        <v>3762</v>
      </c>
      <c r="AP582" s="322">
        <v>3922</v>
      </c>
      <c r="AQ582" s="79">
        <v>2110</v>
      </c>
      <c r="AR582" s="322">
        <v>2589</v>
      </c>
      <c r="AS582" s="79">
        <v>4214</v>
      </c>
      <c r="AT582" s="322">
        <v>4252</v>
      </c>
      <c r="AU582" s="325">
        <f t="shared" si="184"/>
        <v>10086</v>
      </c>
      <c r="AV582" s="90">
        <f t="shared" si="176"/>
        <v>420.25</v>
      </c>
      <c r="AW582" s="324">
        <f t="shared" si="185"/>
        <v>10763</v>
      </c>
      <c r="AX582" s="80">
        <f t="shared" si="177"/>
        <v>448.45833333333331</v>
      </c>
      <c r="AY582" s="326">
        <f t="shared" si="186"/>
        <v>2946.15</v>
      </c>
      <c r="AZ582" s="80">
        <f t="shared" si="187"/>
        <v>3353.7583333333337</v>
      </c>
    </row>
    <row r="583" spans="1:52">
      <c r="A583" s="170" t="s">
        <v>306</v>
      </c>
      <c r="B583" s="166" t="s">
        <v>336</v>
      </c>
      <c r="C583" s="230">
        <v>229018</v>
      </c>
      <c r="D583" s="167">
        <v>4</v>
      </c>
      <c r="E583" s="162" t="s">
        <v>442</v>
      </c>
      <c r="F583" s="163" t="s">
        <v>442</v>
      </c>
      <c r="G583" s="79"/>
      <c r="H583" s="322"/>
      <c r="I583" s="79">
        <v>29958</v>
      </c>
      <c r="J583" s="322">
        <v>30336</v>
      </c>
      <c r="K583" s="79">
        <v>5982</v>
      </c>
      <c r="L583" s="322">
        <v>7182</v>
      </c>
      <c r="M583" s="79">
        <v>33328</v>
      </c>
      <c r="N583" s="322">
        <v>30782</v>
      </c>
      <c r="O583" s="323">
        <f t="shared" si="178"/>
        <v>69268</v>
      </c>
      <c r="P583" s="638">
        <f t="shared" si="188"/>
        <v>69268</v>
      </c>
      <c r="Q583" s="322">
        <v>0</v>
      </c>
      <c r="R583" s="90">
        <f t="shared" si="174"/>
        <v>2308.9333333333334</v>
      </c>
      <c r="S583" s="324">
        <f t="shared" si="179"/>
        <v>68300</v>
      </c>
      <c r="T583" s="638">
        <f t="shared" si="189"/>
        <v>68300</v>
      </c>
      <c r="U583" s="322">
        <v>74</v>
      </c>
      <c r="V583" s="80">
        <f t="shared" si="175"/>
        <v>2276.6666666666665</v>
      </c>
      <c r="W583" s="79"/>
      <c r="X583" s="322"/>
      <c r="Y583" s="79"/>
      <c r="Z583" s="322"/>
      <c r="AA583" s="79"/>
      <c r="AB583" s="322"/>
      <c r="AC583" s="79"/>
      <c r="AD583" s="322"/>
      <c r="AE583" s="323">
        <f t="shared" si="180"/>
        <v>0</v>
      </c>
      <c r="AF583" s="638">
        <f t="shared" si="190"/>
        <v>0</v>
      </c>
      <c r="AG583" s="322"/>
      <c r="AH583" s="90">
        <f t="shared" si="181"/>
        <v>0</v>
      </c>
      <c r="AI583" s="80">
        <f t="shared" si="182"/>
        <v>0</v>
      </c>
      <c r="AJ583" s="638">
        <f t="shared" si="191"/>
        <v>0</v>
      </c>
      <c r="AK583" s="322"/>
      <c r="AL583" s="80">
        <f t="shared" si="183"/>
        <v>0</v>
      </c>
      <c r="AM583" s="79"/>
      <c r="AN583" s="322"/>
      <c r="AO583" s="79">
        <v>3392</v>
      </c>
      <c r="AP583" s="322">
        <v>3234</v>
      </c>
      <c r="AQ583" s="79">
        <v>1633</v>
      </c>
      <c r="AR583" s="322">
        <v>2376</v>
      </c>
      <c r="AS583" s="79">
        <v>3408</v>
      </c>
      <c r="AT583" s="322">
        <v>4137</v>
      </c>
      <c r="AU583" s="325">
        <f t="shared" si="184"/>
        <v>8433</v>
      </c>
      <c r="AV583" s="90">
        <f t="shared" si="176"/>
        <v>351.375</v>
      </c>
      <c r="AW583" s="324">
        <f t="shared" si="185"/>
        <v>9747</v>
      </c>
      <c r="AX583" s="80">
        <f t="shared" si="177"/>
        <v>406.125</v>
      </c>
      <c r="AY583" s="326">
        <f t="shared" si="186"/>
        <v>2660.3083333333334</v>
      </c>
      <c r="AZ583" s="80">
        <f t="shared" si="187"/>
        <v>2682.7916666666665</v>
      </c>
    </row>
    <row r="584" spans="1:52">
      <c r="A584" s="170" t="s">
        <v>306</v>
      </c>
      <c r="B584" s="170" t="s">
        <v>337</v>
      </c>
      <c r="C584" s="229" t="s">
        <v>338</v>
      </c>
      <c r="D584" s="165">
        <v>5</v>
      </c>
      <c r="E584" s="162" t="s">
        <v>442</v>
      </c>
      <c r="F584" s="163" t="s">
        <v>442</v>
      </c>
      <c r="G584" s="79"/>
      <c r="H584" s="322"/>
      <c r="I584" s="79">
        <v>6630</v>
      </c>
      <c r="J584" s="322">
        <v>6054</v>
      </c>
      <c r="K584" s="79">
        <v>3708</v>
      </c>
      <c r="L584" s="322">
        <v>3546</v>
      </c>
      <c r="M584" s="79">
        <v>6057</v>
      </c>
      <c r="N584" s="322">
        <v>6116</v>
      </c>
      <c r="O584" s="323">
        <f t="shared" si="178"/>
        <v>16395</v>
      </c>
      <c r="P584" s="638">
        <f t="shared" si="188"/>
        <v>16395</v>
      </c>
      <c r="Q584" s="322">
        <v>0</v>
      </c>
      <c r="R584" s="90">
        <f t="shared" si="174"/>
        <v>546.5</v>
      </c>
      <c r="S584" s="324">
        <f t="shared" si="179"/>
        <v>15716</v>
      </c>
      <c r="T584" s="638">
        <f t="shared" si="189"/>
        <v>15716</v>
      </c>
      <c r="U584" s="322">
        <v>0</v>
      </c>
      <c r="V584" s="80">
        <f t="shared" si="175"/>
        <v>523.86666666666667</v>
      </c>
      <c r="W584" s="79"/>
      <c r="X584" s="322"/>
      <c r="Y584" s="79"/>
      <c r="Z584" s="322"/>
      <c r="AA584" s="79"/>
      <c r="AB584" s="322"/>
      <c r="AC584" s="79"/>
      <c r="AD584" s="322"/>
      <c r="AE584" s="323">
        <f t="shared" si="180"/>
        <v>0</v>
      </c>
      <c r="AF584" s="638">
        <f t="shared" si="190"/>
        <v>0</v>
      </c>
      <c r="AG584" s="322"/>
      <c r="AH584" s="90">
        <f t="shared" si="181"/>
        <v>0</v>
      </c>
      <c r="AI584" s="80">
        <f t="shared" si="182"/>
        <v>0</v>
      </c>
      <c r="AJ584" s="638">
        <f t="shared" si="191"/>
        <v>0</v>
      </c>
      <c r="AK584" s="322"/>
      <c r="AL584" s="80">
        <f t="shared" si="183"/>
        <v>0</v>
      </c>
      <c r="AM584" s="79"/>
      <c r="AN584" s="322"/>
      <c r="AO584" s="79">
        <v>1143</v>
      </c>
      <c r="AP584" s="322">
        <v>1035</v>
      </c>
      <c r="AQ584" s="79">
        <v>930</v>
      </c>
      <c r="AR584" s="322">
        <v>870</v>
      </c>
      <c r="AS584" s="79">
        <v>999</v>
      </c>
      <c r="AT584" s="322">
        <v>1002</v>
      </c>
      <c r="AU584" s="325">
        <f t="shared" si="184"/>
        <v>3072</v>
      </c>
      <c r="AV584" s="90">
        <f t="shared" si="176"/>
        <v>128</v>
      </c>
      <c r="AW584" s="324">
        <f t="shared" si="185"/>
        <v>2907</v>
      </c>
      <c r="AX584" s="80">
        <f t="shared" si="177"/>
        <v>121.125</v>
      </c>
      <c r="AY584" s="326">
        <f t="shared" si="186"/>
        <v>674.5</v>
      </c>
      <c r="AZ584" s="80">
        <f t="shared" si="187"/>
        <v>644.99166666666667</v>
      </c>
    </row>
    <row r="585" spans="1:52">
      <c r="A585" s="170" t="s">
        <v>306</v>
      </c>
      <c r="B585" s="166" t="s">
        <v>339</v>
      </c>
      <c r="C585" s="230">
        <v>225432</v>
      </c>
      <c r="D585" s="167">
        <v>5</v>
      </c>
      <c r="E585" s="162" t="s">
        <v>442</v>
      </c>
      <c r="F585" s="163" t="s">
        <v>442</v>
      </c>
      <c r="G585" s="79"/>
      <c r="H585" s="322"/>
      <c r="I585" s="79">
        <v>103522</v>
      </c>
      <c r="J585" s="322">
        <v>108428</v>
      </c>
      <c r="K585" s="79">
        <v>29515</v>
      </c>
      <c r="L585" s="322">
        <v>31783</v>
      </c>
      <c r="M585" s="79">
        <v>113613</v>
      </c>
      <c r="N585" s="322">
        <v>114984</v>
      </c>
      <c r="O585" s="323">
        <f t="shared" si="178"/>
        <v>246650</v>
      </c>
      <c r="P585" s="638">
        <f t="shared" si="188"/>
        <v>246650</v>
      </c>
      <c r="Q585" s="322">
        <v>42</v>
      </c>
      <c r="R585" s="90">
        <f t="shared" si="174"/>
        <v>8221.6666666666661</v>
      </c>
      <c r="S585" s="324">
        <f t="shared" si="179"/>
        <v>255195</v>
      </c>
      <c r="T585" s="638">
        <f t="shared" si="189"/>
        <v>255195</v>
      </c>
      <c r="U585" s="322">
        <v>147</v>
      </c>
      <c r="V585" s="80">
        <f t="shared" si="175"/>
        <v>8506.5</v>
      </c>
      <c r="W585" s="79"/>
      <c r="X585" s="322"/>
      <c r="Y585" s="79"/>
      <c r="Z585" s="322"/>
      <c r="AA585" s="79"/>
      <c r="AB585" s="322"/>
      <c r="AC585" s="79"/>
      <c r="AD585" s="322"/>
      <c r="AE585" s="323">
        <f t="shared" si="180"/>
        <v>0</v>
      </c>
      <c r="AF585" s="638">
        <f t="shared" si="190"/>
        <v>0</v>
      </c>
      <c r="AG585" s="322"/>
      <c r="AH585" s="90">
        <f t="shared" si="181"/>
        <v>0</v>
      </c>
      <c r="AI585" s="80">
        <f t="shared" si="182"/>
        <v>0</v>
      </c>
      <c r="AJ585" s="638">
        <f t="shared" si="191"/>
        <v>0</v>
      </c>
      <c r="AK585" s="322"/>
      <c r="AL585" s="80">
        <f t="shared" si="183"/>
        <v>0</v>
      </c>
      <c r="AM585" s="79"/>
      <c r="AN585" s="322"/>
      <c r="AO585" s="79">
        <v>630</v>
      </c>
      <c r="AP585" s="322">
        <v>798</v>
      </c>
      <c r="AQ585" s="79">
        <v>336</v>
      </c>
      <c r="AR585" s="322">
        <v>402</v>
      </c>
      <c r="AS585" s="79">
        <v>696</v>
      </c>
      <c r="AT585" s="322">
        <v>843</v>
      </c>
      <c r="AU585" s="325">
        <f t="shared" si="184"/>
        <v>1662</v>
      </c>
      <c r="AV585" s="90">
        <f t="shared" si="176"/>
        <v>69.25</v>
      </c>
      <c r="AW585" s="324">
        <f t="shared" si="185"/>
        <v>2043</v>
      </c>
      <c r="AX585" s="80">
        <f t="shared" si="177"/>
        <v>85.125</v>
      </c>
      <c r="AY585" s="326">
        <f t="shared" si="186"/>
        <v>8290.9166666666661</v>
      </c>
      <c r="AZ585" s="80">
        <f t="shared" si="187"/>
        <v>8591.625</v>
      </c>
    </row>
    <row r="586" spans="1:52">
      <c r="A586" s="170" t="s">
        <v>306</v>
      </c>
      <c r="B586" s="390" t="s">
        <v>340</v>
      </c>
      <c r="C586" s="229">
        <v>225502</v>
      </c>
      <c r="D586" s="165">
        <v>5</v>
      </c>
      <c r="E586" s="162" t="s">
        <v>442</v>
      </c>
      <c r="F586" s="163" t="s">
        <v>442</v>
      </c>
      <c r="G586" s="79"/>
      <c r="H586" s="322"/>
      <c r="I586" s="79">
        <v>12267</v>
      </c>
      <c r="J586" s="322">
        <v>13297</v>
      </c>
      <c r="K586" s="79">
        <v>5968</v>
      </c>
      <c r="L586" s="322">
        <v>6672</v>
      </c>
      <c r="M586" s="79">
        <v>12786</v>
      </c>
      <c r="N586" s="322">
        <v>14927</v>
      </c>
      <c r="O586" s="323">
        <f t="shared" si="178"/>
        <v>31021</v>
      </c>
      <c r="P586" s="638">
        <f t="shared" si="188"/>
        <v>31021</v>
      </c>
      <c r="Q586" s="322">
        <v>0</v>
      </c>
      <c r="R586" s="90">
        <f t="shared" si="174"/>
        <v>1034.0333333333333</v>
      </c>
      <c r="S586" s="324">
        <f t="shared" si="179"/>
        <v>34896</v>
      </c>
      <c r="T586" s="638">
        <f t="shared" si="189"/>
        <v>34896</v>
      </c>
      <c r="U586" s="322">
        <v>0</v>
      </c>
      <c r="V586" s="80">
        <f t="shared" si="175"/>
        <v>1163.2</v>
      </c>
      <c r="W586" s="79"/>
      <c r="X586" s="322"/>
      <c r="Y586" s="79"/>
      <c r="Z586" s="322"/>
      <c r="AA586" s="79"/>
      <c r="AB586" s="322"/>
      <c r="AC586" s="79"/>
      <c r="AD586" s="322"/>
      <c r="AE586" s="323">
        <f t="shared" si="180"/>
        <v>0</v>
      </c>
      <c r="AF586" s="638">
        <f t="shared" si="190"/>
        <v>0</v>
      </c>
      <c r="AG586" s="322"/>
      <c r="AH586" s="90">
        <f t="shared" si="181"/>
        <v>0</v>
      </c>
      <c r="AI586" s="80">
        <f t="shared" si="182"/>
        <v>0</v>
      </c>
      <c r="AJ586" s="638">
        <f t="shared" si="191"/>
        <v>0</v>
      </c>
      <c r="AK586" s="322"/>
      <c r="AL586" s="80">
        <f t="shared" si="183"/>
        <v>0</v>
      </c>
      <c r="AM586" s="79"/>
      <c r="AN586" s="322"/>
      <c r="AO586" s="79">
        <v>7383</v>
      </c>
      <c r="AP586" s="322">
        <v>8080</v>
      </c>
      <c r="AQ586" s="79">
        <v>5052</v>
      </c>
      <c r="AR586" s="322">
        <v>5641</v>
      </c>
      <c r="AS586" s="79">
        <v>7778</v>
      </c>
      <c r="AT586" s="322">
        <v>8820</v>
      </c>
      <c r="AU586" s="325">
        <f t="shared" si="184"/>
        <v>20213</v>
      </c>
      <c r="AV586" s="90">
        <f t="shared" si="176"/>
        <v>842.20833333333337</v>
      </c>
      <c r="AW586" s="324">
        <f t="shared" si="185"/>
        <v>22541</v>
      </c>
      <c r="AX586" s="80">
        <f t="shared" si="177"/>
        <v>939.20833333333337</v>
      </c>
      <c r="AY586" s="326">
        <f t="shared" si="186"/>
        <v>1876.2416666666668</v>
      </c>
      <c r="AZ586" s="80">
        <f t="shared" si="187"/>
        <v>2102.4083333333333</v>
      </c>
    </row>
    <row r="587" spans="1:52">
      <c r="A587" s="170" t="s">
        <v>306</v>
      </c>
      <c r="B587" s="170" t="s">
        <v>341</v>
      </c>
      <c r="C587" s="229">
        <v>228714</v>
      </c>
      <c r="D587" s="165">
        <v>6</v>
      </c>
      <c r="E587" s="162" t="s">
        <v>442</v>
      </c>
      <c r="F587" s="163" t="s">
        <v>442</v>
      </c>
      <c r="G587" s="79"/>
      <c r="H587" s="322"/>
      <c r="I587" s="79">
        <v>19468</v>
      </c>
      <c r="J587" s="322">
        <v>19567</v>
      </c>
      <c r="K587" s="79">
        <v>3562</v>
      </c>
      <c r="L587" s="322">
        <v>3580</v>
      </c>
      <c r="M587" s="79">
        <v>21802</v>
      </c>
      <c r="N587" s="322">
        <v>21334</v>
      </c>
      <c r="O587" s="323">
        <f t="shared" si="178"/>
        <v>44832</v>
      </c>
      <c r="P587" s="638">
        <f t="shared" si="188"/>
        <v>44832</v>
      </c>
      <c r="Q587" s="322">
        <v>0</v>
      </c>
      <c r="R587" s="90">
        <f t="shared" si="174"/>
        <v>1494.4</v>
      </c>
      <c r="S587" s="324">
        <f t="shared" si="179"/>
        <v>44481</v>
      </c>
      <c r="T587" s="638">
        <f t="shared" si="189"/>
        <v>44481</v>
      </c>
      <c r="U587" s="322">
        <v>0</v>
      </c>
      <c r="V587" s="80">
        <f t="shared" si="175"/>
        <v>1482.7</v>
      </c>
      <c r="W587" s="79"/>
      <c r="X587" s="322"/>
      <c r="Y587" s="79"/>
      <c r="Z587" s="322"/>
      <c r="AA587" s="79"/>
      <c r="AB587" s="322"/>
      <c r="AC587" s="79"/>
      <c r="AD587" s="322"/>
      <c r="AE587" s="323">
        <f t="shared" si="180"/>
        <v>0</v>
      </c>
      <c r="AF587" s="638">
        <f t="shared" si="190"/>
        <v>0</v>
      </c>
      <c r="AG587" s="322"/>
      <c r="AH587" s="90">
        <f t="shared" si="181"/>
        <v>0</v>
      </c>
      <c r="AI587" s="80">
        <f t="shared" si="182"/>
        <v>0</v>
      </c>
      <c r="AJ587" s="638">
        <f t="shared" si="191"/>
        <v>0</v>
      </c>
      <c r="AK587" s="322"/>
      <c r="AL587" s="80">
        <f t="shared" si="183"/>
        <v>0</v>
      </c>
      <c r="AM587" s="79"/>
      <c r="AN587" s="322"/>
      <c r="AO587" s="79">
        <v>214</v>
      </c>
      <c r="AP587" s="322">
        <v>294</v>
      </c>
      <c r="AQ587" s="79">
        <v>115</v>
      </c>
      <c r="AR587" s="322">
        <v>201</v>
      </c>
      <c r="AS587" s="79">
        <v>275</v>
      </c>
      <c r="AT587" s="322">
        <v>329</v>
      </c>
      <c r="AU587" s="325">
        <f t="shared" si="184"/>
        <v>604</v>
      </c>
      <c r="AV587" s="90">
        <f t="shared" si="176"/>
        <v>25.166666666666668</v>
      </c>
      <c r="AW587" s="324">
        <f t="shared" si="185"/>
        <v>824</v>
      </c>
      <c r="AX587" s="80">
        <f t="shared" si="177"/>
        <v>34.333333333333336</v>
      </c>
      <c r="AY587" s="326">
        <f t="shared" si="186"/>
        <v>1519.5666666666668</v>
      </c>
      <c r="AZ587" s="80">
        <f t="shared" si="187"/>
        <v>1517.0333333333333</v>
      </c>
    </row>
    <row r="588" spans="1:52">
      <c r="A588" s="170" t="s">
        <v>306</v>
      </c>
      <c r="B588" s="170" t="s">
        <v>342</v>
      </c>
      <c r="C588" s="229">
        <v>222576</v>
      </c>
      <c r="D588" s="165">
        <v>8</v>
      </c>
      <c r="E588" s="162" t="s">
        <v>442</v>
      </c>
      <c r="F588" s="163" t="s">
        <v>442</v>
      </c>
      <c r="G588" s="79">
        <v>78792</v>
      </c>
      <c r="H588" s="322">
        <v>76133</v>
      </c>
      <c r="I588" s="79">
        <v>20259</v>
      </c>
      <c r="J588" s="322">
        <v>21146</v>
      </c>
      <c r="K588" s="79"/>
      <c r="L588" s="322">
        <v>0</v>
      </c>
      <c r="M588" s="79">
        <v>81389</v>
      </c>
      <c r="N588" s="322">
        <v>79391</v>
      </c>
      <c r="O588" s="323">
        <f t="shared" si="178"/>
        <v>180440</v>
      </c>
      <c r="P588" s="638">
        <f t="shared" si="188"/>
        <v>180440</v>
      </c>
      <c r="Q588" s="322">
        <v>19009</v>
      </c>
      <c r="R588" s="90">
        <f t="shared" si="174"/>
        <v>6014.666666666667</v>
      </c>
      <c r="S588" s="324">
        <f t="shared" si="179"/>
        <v>176670</v>
      </c>
      <c r="T588" s="638">
        <f t="shared" si="189"/>
        <v>176670</v>
      </c>
      <c r="U588" s="322">
        <v>20047</v>
      </c>
      <c r="V588" s="80">
        <f t="shared" si="175"/>
        <v>5889</v>
      </c>
      <c r="W588" s="79">
        <v>154819</v>
      </c>
      <c r="X588" s="322">
        <v>150338</v>
      </c>
      <c r="Y588" s="79">
        <v>129199</v>
      </c>
      <c r="Z588" s="322">
        <v>157428</v>
      </c>
      <c r="AA588" s="79">
        <v>123242</v>
      </c>
      <c r="AB588" s="322">
        <v>140291</v>
      </c>
      <c r="AC588" s="79">
        <v>168811</v>
      </c>
      <c r="AD588" s="322">
        <v>161765</v>
      </c>
      <c r="AE588" s="323">
        <f t="shared" si="180"/>
        <v>576071</v>
      </c>
      <c r="AF588" s="638">
        <f t="shared" si="190"/>
        <v>0</v>
      </c>
      <c r="AG588" s="639" t="s">
        <v>949</v>
      </c>
      <c r="AH588" s="90">
        <f t="shared" si="181"/>
        <v>640.07888888888886</v>
      </c>
      <c r="AI588" s="80">
        <f t="shared" si="182"/>
        <v>609822</v>
      </c>
      <c r="AJ588" s="638">
        <f t="shared" si="191"/>
        <v>0</v>
      </c>
      <c r="AK588" s="639" t="s">
        <v>949</v>
      </c>
      <c r="AL588" s="80">
        <f t="shared" si="183"/>
        <v>677.58</v>
      </c>
      <c r="AM588" s="79"/>
      <c r="AN588" s="322"/>
      <c r="AO588" s="79"/>
      <c r="AP588" s="322"/>
      <c r="AQ588" s="79"/>
      <c r="AR588" s="322"/>
      <c r="AS588" s="79"/>
      <c r="AT588" s="322"/>
      <c r="AU588" s="325">
        <f t="shared" si="184"/>
        <v>0</v>
      </c>
      <c r="AV588" s="90">
        <f t="shared" si="176"/>
        <v>0</v>
      </c>
      <c r="AW588" s="324">
        <f t="shared" si="185"/>
        <v>0</v>
      </c>
      <c r="AX588" s="80">
        <f t="shared" si="177"/>
        <v>0</v>
      </c>
      <c r="AY588" s="326">
        <f t="shared" si="186"/>
        <v>6654.7455555555562</v>
      </c>
      <c r="AZ588" s="80">
        <f t="shared" si="187"/>
        <v>6566.58</v>
      </c>
    </row>
    <row r="589" spans="1:52">
      <c r="A589" s="170" t="s">
        <v>306</v>
      </c>
      <c r="B589" s="170" t="s">
        <v>343</v>
      </c>
      <c r="C589" s="229">
        <v>222992</v>
      </c>
      <c r="D589" s="165">
        <v>8</v>
      </c>
      <c r="E589" s="162" t="s">
        <v>442</v>
      </c>
      <c r="F589" s="163" t="s">
        <v>442</v>
      </c>
      <c r="G589" s="79">
        <v>241331</v>
      </c>
      <c r="H589" s="322">
        <v>249738</v>
      </c>
      <c r="I589" s="79">
        <v>137288</v>
      </c>
      <c r="J589" s="322">
        <v>145075</v>
      </c>
      <c r="K589" s="79"/>
      <c r="L589" s="322">
        <v>0</v>
      </c>
      <c r="M589" s="79">
        <v>242309</v>
      </c>
      <c r="N589" s="322">
        <v>252322</v>
      </c>
      <c r="O589" s="323">
        <f t="shared" si="178"/>
        <v>620928</v>
      </c>
      <c r="P589" s="638">
        <f t="shared" si="188"/>
        <v>620928</v>
      </c>
      <c r="Q589" s="322">
        <v>32637</v>
      </c>
      <c r="R589" s="90">
        <f t="shared" si="174"/>
        <v>20697.599999999999</v>
      </c>
      <c r="S589" s="324">
        <f t="shared" si="179"/>
        <v>647135</v>
      </c>
      <c r="T589" s="638">
        <f t="shared" si="189"/>
        <v>647135</v>
      </c>
      <c r="U589" s="322">
        <v>35944</v>
      </c>
      <c r="V589" s="80">
        <f t="shared" si="175"/>
        <v>21571.166666666668</v>
      </c>
      <c r="W589" s="79">
        <v>103205</v>
      </c>
      <c r="X589" s="322">
        <v>114011</v>
      </c>
      <c r="Y589" s="79">
        <v>85440</v>
      </c>
      <c r="Z589" s="322">
        <v>115154</v>
      </c>
      <c r="AA589" s="79">
        <v>91599</v>
      </c>
      <c r="AB589" s="322">
        <v>98024</v>
      </c>
      <c r="AC589" s="79">
        <v>134379</v>
      </c>
      <c r="AD589" s="322">
        <v>133589</v>
      </c>
      <c r="AE589" s="323">
        <f t="shared" si="180"/>
        <v>414623</v>
      </c>
      <c r="AF589" s="638">
        <f t="shared" si="190"/>
        <v>0</v>
      </c>
      <c r="AG589" s="639" t="s">
        <v>949</v>
      </c>
      <c r="AH589" s="90">
        <f t="shared" si="181"/>
        <v>460.6922222222222</v>
      </c>
      <c r="AI589" s="80">
        <f t="shared" si="182"/>
        <v>460778</v>
      </c>
      <c r="AJ589" s="638">
        <f t="shared" si="191"/>
        <v>0</v>
      </c>
      <c r="AK589" s="639" t="s">
        <v>949</v>
      </c>
      <c r="AL589" s="80">
        <f t="shared" si="183"/>
        <v>511.97555555555556</v>
      </c>
      <c r="AM589" s="79"/>
      <c r="AN589" s="322"/>
      <c r="AO589" s="79"/>
      <c r="AP589" s="322"/>
      <c r="AQ589" s="79"/>
      <c r="AR589" s="322"/>
      <c r="AS589" s="79"/>
      <c r="AT589" s="322"/>
      <c r="AU589" s="325">
        <f t="shared" si="184"/>
        <v>0</v>
      </c>
      <c r="AV589" s="90">
        <f t="shared" si="176"/>
        <v>0</v>
      </c>
      <c r="AW589" s="324">
        <f t="shared" si="185"/>
        <v>0</v>
      </c>
      <c r="AX589" s="80">
        <f t="shared" si="177"/>
        <v>0</v>
      </c>
      <c r="AY589" s="326">
        <f t="shared" si="186"/>
        <v>21158.292222222222</v>
      </c>
      <c r="AZ589" s="80">
        <f t="shared" si="187"/>
        <v>22083.142222222225</v>
      </c>
    </row>
    <row r="590" spans="1:52">
      <c r="A590" s="170" t="s">
        <v>306</v>
      </c>
      <c r="B590" s="170" t="s">
        <v>344</v>
      </c>
      <c r="C590" s="229">
        <v>223427</v>
      </c>
      <c r="D590" s="165">
        <v>8</v>
      </c>
      <c r="E590" s="162" t="s">
        <v>442</v>
      </c>
      <c r="F590" s="163" t="s">
        <v>442</v>
      </c>
      <c r="G590" s="79">
        <v>130142</v>
      </c>
      <c r="H590" s="322">
        <v>137199</v>
      </c>
      <c r="I590" s="79">
        <v>28194</v>
      </c>
      <c r="J590" s="322">
        <v>29822</v>
      </c>
      <c r="K590" s="79">
        <v>17088</v>
      </c>
      <c r="L590" s="322">
        <v>16233</v>
      </c>
      <c r="M590" s="79">
        <v>145495</v>
      </c>
      <c r="N590" s="322">
        <v>156668</v>
      </c>
      <c r="O590" s="323">
        <f t="shared" si="178"/>
        <v>320919</v>
      </c>
      <c r="P590" s="638">
        <f t="shared" si="188"/>
        <v>320919</v>
      </c>
      <c r="Q590" s="322">
        <v>8842</v>
      </c>
      <c r="R590" s="90">
        <f t="shared" si="174"/>
        <v>10697.3</v>
      </c>
      <c r="S590" s="324">
        <f t="shared" si="179"/>
        <v>339922</v>
      </c>
      <c r="T590" s="638">
        <f t="shared" si="189"/>
        <v>339922</v>
      </c>
      <c r="U590" s="322">
        <v>9899</v>
      </c>
      <c r="V590" s="80">
        <f t="shared" si="175"/>
        <v>11330.733333333334</v>
      </c>
      <c r="W590" s="79">
        <v>24485</v>
      </c>
      <c r="X590" s="322">
        <v>30465</v>
      </c>
      <c r="Y590" s="79">
        <v>20826</v>
      </c>
      <c r="Z590" s="322">
        <v>33981</v>
      </c>
      <c r="AA590" s="79">
        <v>20455</v>
      </c>
      <c r="AB590" s="322">
        <v>38939</v>
      </c>
      <c r="AC590" s="79">
        <v>34296</v>
      </c>
      <c r="AD590" s="322">
        <v>36797</v>
      </c>
      <c r="AE590" s="323">
        <f t="shared" si="180"/>
        <v>100062</v>
      </c>
      <c r="AF590" s="638">
        <f t="shared" si="190"/>
        <v>0</v>
      </c>
      <c r="AG590" s="639" t="s">
        <v>949</v>
      </c>
      <c r="AH590" s="90">
        <f t="shared" si="181"/>
        <v>111.18</v>
      </c>
      <c r="AI590" s="80">
        <f t="shared" si="182"/>
        <v>140182</v>
      </c>
      <c r="AJ590" s="638">
        <f t="shared" si="191"/>
        <v>0</v>
      </c>
      <c r="AK590" s="639" t="s">
        <v>949</v>
      </c>
      <c r="AL590" s="80">
        <f t="shared" si="183"/>
        <v>155.75777777777779</v>
      </c>
      <c r="AM590" s="79"/>
      <c r="AN590" s="322"/>
      <c r="AO590" s="79"/>
      <c r="AP590" s="322"/>
      <c r="AQ590" s="79"/>
      <c r="AR590" s="322"/>
      <c r="AS590" s="79"/>
      <c r="AT590" s="322"/>
      <c r="AU590" s="325">
        <f t="shared" si="184"/>
        <v>0</v>
      </c>
      <c r="AV590" s="90">
        <f t="shared" si="176"/>
        <v>0</v>
      </c>
      <c r="AW590" s="324">
        <f t="shared" si="185"/>
        <v>0</v>
      </c>
      <c r="AX590" s="80">
        <f t="shared" si="177"/>
        <v>0</v>
      </c>
      <c r="AY590" s="326">
        <f t="shared" si="186"/>
        <v>10808.48</v>
      </c>
      <c r="AZ590" s="80">
        <f t="shared" si="187"/>
        <v>11486.491111111111</v>
      </c>
    </row>
    <row r="591" spans="1:52">
      <c r="A591" s="170" t="s">
        <v>306</v>
      </c>
      <c r="B591" s="215" t="s">
        <v>345</v>
      </c>
      <c r="C591" s="229">
        <v>223524</v>
      </c>
      <c r="D591" s="165">
        <v>8</v>
      </c>
      <c r="E591" s="162" t="s">
        <v>442</v>
      </c>
      <c r="F591" s="163" t="s">
        <v>442</v>
      </c>
      <c r="G591" s="79">
        <v>77115</v>
      </c>
      <c r="H591" s="322">
        <v>74837</v>
      </c>
      <c r="I591" s="79">
        <v>26992</v>
      </c>
      <c r="J591" s="322">
        <v>30166</v>
      </c>
      <c r="K591" s="79">
        <v>13678</v>
      </c>
      <c r="L591" s="322">
        <v>14512</v>
      </c>
      <c r="M591" s="79">
        <v>68280</v>
      </c>
      <c r="N591" s="322">
        <v>68735</v>
      </c>
      <c r="O591" s="323">
        <f t="shared" si="178"/>
        <v>186065</v>
      </c>
      <c r="P591" s="638">
        <f t="shared" si="188"/>
        <v>186065</v>
      </c>
      <c r="Q591" s="322">
        <v>6120</v>
      </c>
      <c r="R591" s="90">
        <f t="shared" si="174"/>
        <v>6202.166666666667</v>
      </c>
      <c r="S591" s="324">
        <f t="shared" si="179"/>
        <v>188250</v>
      </c>
      <c r="T591" s="638">
        <f t="shared" si="189"/>
        <v>188250</v>
      </c>
      <c r="U591" s="322">
        <v>6560</v>
      </c>
      <c r="V591" s="80">
        <f t="shared" si="175"/>
        <v>6275</v>
      </c>
      <c r="W591" s="79">
        <v>79024</v>
      </c>
      <c r="X591" s="322">
        <v>72472</v>
      </c>
      <c r="Y591" s="79">
        <v>87887</v>
      </c>
      <c r="Z591" s="322">
        <v>79835</v>
      </c>
      <c r="AA591" s="79">
        <v>93858</v>
      </c>
      <c r="AB591" s="322">
        <v>86034</v>
      </c>
      <c r="AC591" s="79">
        <v>100698</v>
      </c>
      <c r="AD591" s="322">
        <v>90742</v>
      </c>
      <c r="AE591" s="323">
        <f t="shared" si="180"/>
        <v>361467</v>
      </c>
      <c r="AF591" s="638">
        <f t="shared" si="190"/>
        <v>0</v>
      </c>
      <c r="AG591" s="639" t="s">
        <v>949</v>
      </c>
      <c r="AH591" s="90">
        <f t="shared" si="181"/>
        <v>401.63</v>
      </c>
      <c r="AI591" s="80">
        <f t="shared" si="182"/>
        <v>329083</v>
      </c>
      <c r="AJ591" s="638">
        <f t="shared" si="191"/>
        <v>0</v>
      </c>
      <c r="AK591" s="639" t="s">
        <v>949</v>
      </c>
      <c r="AL591" s="80">
        <f t="shared" si="183"/>
        <v>365.64777777777778</v>
      </c>
      <c r="AM591" s="79"/>
      <c r="AN591" s="322"/>
      <c r="AO591" s="79"/>
      <c r="AP591" s="322"/>
      <c r="AQ591" s="79"/>
      <c r="AR591" s="322"/>
      <c r="AS591" s="79"/>
      <c r="AT591" s="322"/>
      <c r="AU591" s="325">
        <f t="shared" si="184"/>
        <v>0</v>
      </c>
      <c r="AV591" s="90">
        <f t="shared" si="176"/>
        <v>0</v>
      </c>
      <c r="AW591" s="324">
        <f t="shared" si="185"/>
        <v>0</v>
      </c>
      <c r="AX591" s="80">
        <f t="shared" si="177"/>
        <v>0</v>
      </c>
      <c r="AY591" s="326">
        <f t="shared" si="186"/>
        <v>6603.7966666666671</v>
      </c>
      <c r="AZ591" s="80">
        <f t="shared" si="187"/>
        <v>6640.6477777777782</v>
      </c>
    </row>
    <row r="592" spans="1:52">
      <c r="A592" s="170" t="s">
        <v>306</v>
      </c>
      <c r="B592" s="170" t="s">
        <v>346</v>
      </c>
      <c r="C592" s="229">
        <v>223816</v>
      </c>
      <c r="D592" s="165">
        <v>8</v>
      </c>
      <c r="E592" s="162" t="s">
        <v>442</v>
      </c>
      <c r="F592" s="163" t="s">
        <v>442</v>
      </c>
      <c r="G592" s="79">
        <v>107166</v>
      </c>
      <c r="H592" s="322">
        <v>94390</v>
      </c>
      <c r="I592" s="79">
        <v>63119</v>
      </c>
      <c r="J592" s="322">
        <v>85813</v>
      </c>
      <c r="K592" s="79">
        <v>9816</v>
      </c>
      <c r="L592" s="322">
        <v>9922</v>
      </c>
      <c r="M592" s="79">
        <v>71113</v>
      </c>
      <c r="N592" s="322">
        <v>74021</v>
      </c>
      <c r="O592" s="323">
        <f t="shared" si="178"/>
        <v>251214</v>
      </c>
      <c r="P592" s="638">
        <f t="shared" si="188"/>
        <v>251214</v>
      </c>
      <c r="Q592" s="322">
        <v>8952</v>
      </c>
      <c r="R592" s="90">
        <f t="shared" si="174"/>
        <v>8373.7999999999993</v>
      </c>
      <c r="S592" s="324">
        <f t="shared" si="179"/>
        <v>264146</v>
      </c>
      <c r="T592" s="638">
        <f t="shared" si="189"/>
        <v>264146</v>
      </c>
      <c r="U592" s="322">
        <v>17189</v>
      </c>
      <c r="V592" s="80">
        <f t="shared" si="175"/>
        <v>8804.8666666666668</v>
      </c>
      <c r="W592" s="79">
        <v>46024</v>
      </c>
      <c r="X592" s="322">
        <v>60124</v>
      </c>
      <c r="Y592" s="79">
        <v>83637</v>
      </c>
      <c r="Z592" s="322">
        <v>110100</v>
      </c>
      <c r="AA592" s="79">
        <v>73596</v>
      </c>
      <c r="AB592" s="322">
        <v>91433</v>
      </c>
      <c r="AC592" s="79">
        <v>76563</v>
      </c>
      <c r="AD592" s="322">
        <v>82082</v>
      </c>
      <c r="AE592" s="323">
        <f t="shared" si="180"/>
        <v>279820</v>
      </c>
      <c r="AF592" s="638">
        <f t="shared" si="190"/>
        <v>0</v>
      </c>
      <c r="AG592" s="639" t="s">
        <v>949</v>
      </c>
      <c r="AH592" s="90">
        <f t="shared" si="181"/>
        <v>310.9111111111111</v>
      </c>
      <c r="AI592" s="80">
        <f t="shared" si="182"/>
        <v>343739</v>
      </c>
      <c r="AJ592" s="638">
        <f t="shared" si="191"/>
        <v>0</v>
      </c>
      <c r="AK592" s="639" t="s">
        <v>949</v>
      </c>
      <c r="AL592" s="80">
        <f t="shared" si="183"/>
        <v>381.93222222222221</v>
      </c>
      <c r="AM592" s="79"/>
      <c r="AN592" s="322"/>
      <c r="AO592" s="79"/>
      <c r="AP592" s="322"/>
      <c r="AQ592" s="79"/>
      <c r="AR592" s="322"/>
      <c r="AS592" s="79"/>
      <c r="AT592" s="322"/>
      <c r="AU592" s="325">
        <f t="shared" si="184"/>
        <v>0</v>
      </c>
      <c r="AV592" s="90">
        <f t="shared" si="176"/>
        <v>0</v>
      </c>
      <c r="AW592" s="324">
        <f t="shared" si="185"/>
        <v>0</v>
      </c>
      <c r="AX592" s="80">
        <f t="shared" si="177"/>
        <v>0</v>
      </c>
      <c r="AY592" s="326">
        <f t="shared" si="186"/>
        <v>8684.7111111111099</v>
      </c>
      <c r="AZ592" s="80">
        <f t="shared" si="187"/>
        <v>9186.7988888888885</v>
      </c>
    </row>
    <row r="593" spans="1:52">
      <c r="A593" s="170" t="s">
        <v>306</v>
      </c>
      <c r="B593" s="170" t="s">
        <v>347</v>
      </c>
      <c r="C593" s="229">
        <v>247834</v>
      </c>
      <c r="D593" s="165">
        <v>8</v>
      </c>
      <c r="E593" s="162" t="s">
        <v>442</v>
      </c>
      <c r="F593" s="163" t="s">
        <v>442</v>
      </c>
      <c r="G593" s="79">
        <v>158071</v>
      </c>
      <c r="H593" s="322">
        <v>170777</v>
      </c>
      <c r="I593" s="79">
        <v>32430</v>
      </c>
      <c r="J593" s="322">
        <v>38106</v>
      </c>
      <c r="K593" s="79">
        <v>29057</v>
      </c>
      <c r="L593" s="322">
        <v>30905</v>
      </c>
      <c r="M593" s="79">
        <v>172415</v>
      </c>
      <c r="N593" s="322">
        <v>178651</v>
      </c>
      <c r="O593" s="323">
        <f t="shared" si="178"/>
        <v>391973</v>
      </c>
      <c r="P593" s="638">
        <f t="shared" si="188"/>
        <v>391973</v>
      </c>
      <c r="Q593" s="322">
        <v>10715</v>
      </c>
      <c r="R593" s="90">
        <f t="shared" si="174"/>
        <v>13065.766666666666</v>
      </c>
      <c r="S593" s="324">
        <f t="shared" si="179"/>
        <v>418439</v>
      </c>
      <c r="T593" s="638">
        <f t="shared" si="189"/>
        <v>418439</v>
      </c>
      <c r="U593" s="322">
        <v>11872</v>
      </c>
      <c r="V593" s="80">
        <f t="shared" si="175"/>
        <v>13947.966666666667</v>
      </c>
      <c r="W593" s="79">
        <v>156727</v>
      </c>
      <c r="X593" s="322">
        <v>133412</v>
      </c>
      <c r="Y593" s="79">
        <v>86093</v>
      </c>
      <c r="Z593" s="322">
        <v>117427</v>
      </c>
      <c r="AA593" s="79">
        <v>117948</v>
      </c>
      <c r="AB593" s="322">
        <v>103662</v>
      </c>
      <c r="AC593" s="79">
        <v>188325</v>
      </c>
      <c r="AD593" s="322">
        <v>176556</v>
      </c>
      <c r="AE593" s="323">
        <f t="shared" si="180"/>
        <v>549093</v>
      </c>
      <c r="AF593" s="638">
        <f t="shared" si="190"/>
        <v>0</v>
      </c>
      <c r="AG593" s="639" t="s">
        <v>949</v>
      </c>
      <c r="AH593" s="90">
        <f t="shared" si="181"/>
        <v>610.10333333333335</v>
      </c>
      <c r="AI593" s="80">
        <f t="shared" si="182"/>
        <v>531057</v>
      </c>
      <c r="AJ593" s="638">
        <f t="shared" si="191"/>
        <v>0</v>
      </c>
      <c r="AK593" s="639" t="s">
        <v>949</v>
      </c>
      <c r="AL593" s="80">
        <f t="shared" si="183"/>
        <v>590.06333333333339</v>
      </c>
      <c r="AM593" s="79"/>
      <c r="AN593" s="322"/>
      <c r="AO593" s="79"/>
      <c r="AP593" s="322"/>
      <c r="AQ593" s="79"/>
      <c r="AR593" s="322"/>
      <c r="AS593" s="79"/>
      <c r="AT593" s="322"/>
      <c r="AU593" s="325">
        <f t="shared" si="184"/>
        <v>0</v>
      </c>
      <c r="AV593" s="90">
        <f t="shared" si="176"/>
        <v>0</v>
      </c>
      <c r="AW593" s="324">
        <f t="shared" si="185"/>
        <v>0</v>
      </c>
      <c r="AX593" s="80">
        <f t="shared" si="177"/>
        <v>0</v>
      </c>
      <c r="AY593" s="326">
        <f t="shared" si="186"/>
        <v>13675.869999999999</v>
      </c>
      <c r="AZ593" s="80">
        <f t="shared" si="187"/>
        <v>14538.03</v>
      </c>
    </row>
    <row r="594" spans="1:52">
      <c r="A594" s="170" t="s">
        <v>306</v>
      </c>
      <c r="B594" s="170" t="s">
        <v>348</v>
      </c>
      <c r="C594" s="229">
        <v>224350</v>
      </c>
      <c r="D594" s="165">
        <v>8</v>
      </c>
      <c r="E594" s="162" t="s">
        <v>442</v>
      </c>
      <c r="F594" s="163" t="s">
        <v>442</v>
      </c>
      <c r="G594" s="79">
        <v>87180</v>
      </c>
      <c r="H594" s="322">
        <v>83024</v>
      </c>
      <c r="I594" s="79">
        <v>22689</v>
      </c>
      <c r="J594" s="322">
        <v>22815</v>
      </c>
      <c r="K594" s="79">
        <v>9110</v>
      </c>
      <c r="L594" s="322">
        <v>8940</v>
      </c>
      <c r="M594" s="79">
        <v>89648</v>
      </c>
      <c r="N594" s="322">
        <v>91580</v>
      </c>
      <c r="O594" s="323">
        <f t="shared" si="178"/>
        <v>208627</v>
      </c>
      <c r="P594" s="638">
        <f t="shared" si="188"/>
        <v>208627</v>
      </c>
      <c r="Q594" s="322">
        <v>6846</v>
      </c>
      <c r="R594" s="90">
        <f t="shared" si="174"/>
        <v>6954.2333333333336</v>
      </c>
      <c r="S594" s="324">
        <f t="shared" si="179"/>
        <v>206359</v>
      </c>
      <c r="T594" s="638">
        <f t="shared" si="189"/>
        <v>206359</v>
      </c>
      <c r="U594" s="322">
        <v>9874</v>
      </c>
      <c r="V594" s="80">
        <f t="shared" si="175"/>
        <v>6878.6333333333332</v>
      </c>
      <c r="W594" s="79">
        <v>58042</v>
      </c>
      <c r="X594" s="322">
        <v>64250</v>
      </c>
      <c r="Y594" s="79">
        <v>55317</v>
      </c>
      <c r="Z594" s="322">
        <v>78386</v>
      </c>
      <c r="AA594" s="79">
        <v>74246</v>
      </c>
      <c r="AB594" s="322">
        <v>80078</v>
      </c>
      <c r="AC594" s="79">
        <v>59666</v>
      </c>
      <c r="AD594" s="322">
        <v>54017</v>
      </c>
      <c r="AE594" s="323">
        <f t="shared" si="180"/>
        <v>247271</v>
      </c>
      <c r="AF594" s="638">
        <f t="shared" si="190"/>
        <v>0</v>
      </c>
      <c r="AG594" s="639" t="s">
        <v>949</v>
      </c>
      <c r="AH594" s="90">
        <f t="shared" si="181"/>
        <v>274.74555555555554</v>
      </c>
      <c r="AI594" s="80">
        <f t="shared" si="182"/>
        <v>276731</v>
      </c>
      <c r="AJ594" s="638">
        <f t="shared" si="191"/>
        <v>0</v>
      </c>
      <c r="AK594" s="639" t="s">
        <v>949</v>
      </c>
      <c r="AL594" s="80">
        <f t="shared" si="183"/>
        <v>307.47888888888889</v>
      </c>
      <c r="AM594" s="79"/>
      <c r="AN594" s="322"/>
      <c r="AO594" s="79"/>
      <c r="AP594" s="322"/>
      <c r="AQ594" s="79"/>
      <c r="AR594" s="322"/>
      <c r="AS594" s="79"/>
      <c r="AT594" s="322"/>
      <c r="AU594" s="325">
        <f t="shared" si="184"/>
        <v>0</v>
      </c>
      <c r="AV594" s="90">
        <f t="shared" si="176"/>
        <v>0</v>
      </c>
      <c r="AW594" s="324">
        <f t="shared" si="185"/>
        <v>0</v>
      </c>
      <c r="AX594" s="80">
        <f t="shared" si="177"/>
        <v>0</v>
      </c>
      <c r="AY594" s="326">
        <f t="shared" si="186"/>
        <v>7228.9788888888888</v>
      </c>
      <c r="AZ594" s="80">
        <f t="shared" si="187"/>
        <v>7186.112222222222</v>
      </c>
    </row>
    <row r="595" spans="1:52">
      <c r="A595" s="170" t="s">
        <v>306</v>
      </c>
      <c r="B595" s="215" t="s">
        <v>349</v>
      </c>
      <c r="C595" s="229">
        <v>224572</v>
      </c>
      <c r="D595" s="165">
        <v>8</v>
      </c>
      <c r="E595" s="162" t="s">
        <v>442</v>
      </c>
      <c r="F595" s="163" t="s">
        <v>442</v>
      </c>
      <c r="G595" s="79">
        <v>75586</v>
      </c>
      <c r="H595" s="322">
        <v>75020</v>
      </c>
      <c r="I595" s="79">
        <v>23793</v>
      </c>
      <c r="J595" s="322">
        <v>28782</v>
      </c>
      <c r="K595" s="79">
        <v>12361</v>
      </c>
      <c r="L595" s="322">
        <v>13052</v>
      </c>
      <c r="M595" s="79">
        <v>67169</v>
      </c>
      <c r="N595" s="322">
        <v>68450</v>
      </c>
      <c r="O595" s="323">
        <f t="shared" si="178"/>
        <v>178909</v>
      </c>
      <c r="P595" s="638">
        <f t="shared" si="188"/>
        <v>178909</v>
      </c>
      <c r="Q595" s="322">
        <v>8839</v>
      </c>
      <c r="R595" s="90">
        <f t="shared" si="174"/>
        <v>5963.6333333333332</v>
      </c>
      <c r="S595" s="324">
        <f t="shared" si="179"/>
        <v>185304</v>
      </c>
      <c r="T595" s="638">
        <f t="shared" si="189"/>
        <v>185304</v>
      </c>
      <c r="U595" s="322">
        <v>10390</v>
      </c>
      <c r="V595" s="80">
        <f t="shared" si="175"/>
        <v>6176.8</v>
      </c>
      <c r="W595" s="79">
        <v>60886</v>
      </c>
      <c r="X595" s="322">
        <v>54026</v>
      </c>
      <c r="Y595" s="79">
        <v>47137</v>
      </c>
      <c r="Z595" s="322">
        <v>55414</v>
      </c>
      <c r="AA595" s="79">
        <v>64937</v>
      </c>
      <c r="AB595" s="322">
        <v>64418</v>
      </c>
      <c r="AC595" s="79">
        <v>76622</v>
      </c>
      <c r="AD595" s="322">
        <v>63536</v>
      </c>
      <c r="AE595" s="323">
        <f t="shared" si="180"/>
        <v>249582</v>
      </c>
      <c r="AF595" s="638">
        <f t="shared" si="190"/>
        <v>0</v>
      </c>
      <c r="AG595" s="639" t="s">
        <v>949</v>
      </c>
      <c r="AH595" s="90">
        <f t="shared" si="181"/>
        <v>277.31333333333333</v>
      </c>
      <c r="AI595" s="80">
        <f t="shared" si="182"/>
        <v>237394</v>
      </c>
      <c r="AJ595" s="638">
        <f t="shared" si="191"/>
        <v>0</v>
      </c>
      <c r="AK595" s="639" t="s">
        <v>949</v>
      </c>
      <c r="AL595" s="80">
        <f t="shared" si="183"/>
        <v>263.77111111111111</v>
      </c>
      <c r="AM595" s="79"/>
      <c r="AN595" s="322"/>
      <c r="AO595" s="79"/>
      <c r="AP595" s="322"/>
      <c r="AQ595" s="79"/>
      <c r="AR595" s="322"/>
      <c r="AS595" s="79"/>
      <c r="AT595" s="322"/>
      <c r="AU595" s="325">
        <f t="shared" si="184"/>
        <v>0</v>
      </c>
      <c r="AV595" s="90">
        <f t="shared" si="176"/>
        <v>0</v>
      </c>
      <c r="AW595" s="324">
        <f t="shared" si="185"/>
        <v>0</v>
      </c>
      <c r="AX595" s="80">
        <f t="shared" si="177"/>
        <v>0</v>
      </c>
      <c r="AY595" s="326">
        <f t="shared" si="186"/>
        <v>6240.9466666666667</v>
      </c>
      <c r="AZ595" s="80">
        <f t="shared" si="187"/>
        <v>6440.5711111111113</v>
      </c>
    </row>
    <row r="596" spans="1:52">
      <c r="A596" s="170" t="s">
        <v>306</v>
      </c>
      <c r="B596" s="170" t="s">
        <v>350</v>
      </c>
      <c r="C596" s="229">
        <v>224642</v>
      </c>
      <c r="D596" s="165">
        <v>8</v>
      </c>
      <c r="E596" s="162" t="s">
        <v>442</v>
      </c>
      <c r="F596" s="163" t="s">
        <v>442</v>
      </c>
      <c r="G596" s="79">
        <v>211408</v>
      </c>
      <c r="H596" s="322">
        <v>200821</v>
      </c>
      <c r="I596" s="79">
        <v>46871</v>
      </c>
      <c r="J596" s="322">
        <v>52347</v>
      </c>
      <c r="K596" s="79"/>
      <c r="L596" s="322">
        <v>0</v>
      </c>
      <c r="M596" s="79">
        <v>218195</v>
      </c>
      <c r="N596" s="322">
        <v>225500</v>
      </c>
      <c r="O596" s="323">
        <f t="shared" si="178"/>
        <v>476474</v>
      </c>
      <c r="P596" s="638">
        <f t="shared" si="188"/>
        <v>476474</v>
      </c>
      <c r="Q596" s="322">
        <v>14661</v>
      </c>
      <c r="R596" s="90">
        <f t="shared" ref="R596:R663" si="192">+O596/30</f>
        <v>15882.466666666667</v>
      </c>
      <c r="S596" s="324">
        <f t="shared" si="179"/>
        <v>478668</v>
      </c>
      <c r="T596" s="638">
        <f t="shared" si="189"/>
        <v>478668</v>
      </c>
      <c r="U596" s="322">
        <v>28385</v>
      </c>
      <c r="V596" s="80">
        <f t="shared" ref="V596:V663" si="193">+S596/30</f>
        <v>15955.6</v>
      </c>
      <c r="W596" s="79">
        <v>126695</v>
      </c>
      <c r="X596" s="322">
        <v>125484</v>
      </c>
      <c r="Y596" s="79">
        <v>135071</v>
      </c>
      <c r="Z596" s="322">
        <v>122704</v>
      </c>
      <c r="AA596" s="79">
        <v>132083</v>
      </c>
      <c r="AB596" s="322">
        <v>125093</v>
      </c>
      <c r="AC596" s="79">
        <v>149057</v>
      </c>
      <c r="AD596" s="322">
        <v>117043</v>
      </c>
      <c r="AE596" s="323">
        <f t="shared" si="180"/>
        <v>542906</v>
      </c>
      <c r="AF596" s="638">
        <f t="shared" si="190"/>
        <v>0</v>
      </c>
      <c r="AG596" s="639" t="s">
        <v>949</v>
      </c>
      <c r="AH596" s="90">
        <f t="shared" si="181"/>
        <v>603.22888888888883</v>
      </c>
      <c r="AI596" s="80">
        <f t="shared" si="182"/>
        <v>490324</v>
      </c>
      <c r="AJ596" s="638">
        <f t="shared" si="191"/>
        <v>0</v>
      </c>
      <c r="AK596" s="639" t="s">
        <v>949</v>
      </c>
      <c r="AL596" s="80">
        <f t="shared" si="183"/>
        <v>544.80444444444447</v>
      </c>
      <c r="AM596" s="79"/>
      <c r="AN596" s="322"/>
      <c r="AO596" s="79"/>
      <c r="AP596" s="322"/>
      <c r="AQ596" s="79"/>
      <c r="AR596" s="322"/>
      <c r="AS596" s="79"/>
      <c r="AT596" s="322"/>
      <c r="AU596" s="325">
        <f t="shared" si="184"/>
        <v>0</v>
      </c>
      <c r="AV596" s="90">
        <f t="shared" ref="AV596:AV663" si="194">+AU596/24</f>
        <v>0</v>
      </c>
      <c r="AW596" s="324">
        <f t="shared" si="185"/>
        <v>0</v>
      </c>
      <c r="AX596" s="80">
        <f t="shared" ref="AX596:AX663" si="195">+AW596/24</f>
        <v>0</v>
      </c>
      <c r="AY596" s="326">
        <f t="shared" si="186"/>
        <v>16485.695555555554</v>
      </c>
      <c r="AZ596" s="80">
        <f t="shared" si="187"/>
        <v>16500.404444444444</v>
      </c>
    </row>
    <row r="597" spans="1:52">
      <c r="A597" s="170" t="s">
        <v>306</v>
      </c>
      <c r="B597" s="170" t="s">
        <v>351</v>
      </c>
      <c r="C597" s="229">
        <v>225423</v>
      </c>
      <c r="D597" s="165">
        <v>8</v>
      </c>
      <c r="E597" s="162" t="s">
        <v>442</v>
      </c>
      <c r="F597" s="163" t="s">
        <v>442</v>
      </c>
      <c r="G597" s="79">
        <v>340762</v>
      </c>
      <c r="H597" s="322">
        <v>340857</v>
      </c>
      <c r="I597" s="79">
        <v>185850</v>
      </c>
      <c r="J597" s="322">
        <v>227404</v>
      </c>
      <c r="K597" s="79"/>
      <c r="L597" s="322">
        <v>0</v>
      </c>
      <c r="M597" s="79">
        <v>278076</v>
      </c>
      <c r="N597" s="322">
        <v>297936</v>
      </c>
      <c r="O597" s="323">
        <f t="shared" si="178"/>
        <v>804688</v>
      </c>
      <c r="P597" s="638">
        <f t="shared" si="188"/>
        <v>804688</v>
      </c>
      <c r="Q597" s="322">
        <v>35069</v>
      </c>
      <c r="R597" s="90">
        <f t="shared" si="192"/>
        <v>26822.933333333334</v>
      </c>
      <c r="S597" s="324">
        <f t="shared" si="179"/>
        <v>866197</v>
      </c>
      <c r="T597" s="638">
        <f t="shared" si="189"/>
        <v>866197</v>
      </c>
      <c r="U597" s="322">
        <v>37464</v>
      </c>
      <c r="V597" s="80">
        <f t="shared" si="193"/>
        <v>28873.233333333334</v>
      </c>
      <c r="W597" s="79">
        <v>463250</v>
      </c>
      <c r="X597" s="322">
        <v>438229</v>
      </c>
      <c r="Y597" s="79">
        <v>468794</v>
      </c>
      <c r="Z597" s="322">
        <v>411029</v>
      </c>
      <c r="AA597" s="79">
        <v>473137</v>
      </c>
      <c r="AB597" s="322">
        <v>396354</v>
      </c>
      <c r="AC597" s="79">
        <v>601583</v>
      </c>
      <c r="AD597" s="322">
        <v>495744</v>
      </c>
      <c r="AE597" s="323">
        <f t="shared" si="180"/>
        <v>2006764</v>
      </c>
      <c r="AF597" s="638">
        <f t="shared" si="190"/>
        <v>0</v>
      </c>
      <c r="AG597" s="639" t="s">
        <v>949</v>
      </c>
      <c r="AH597" s="90">
        <f t="shared" si="181"/>
        <v>2229.7377777777779</v>
      </c>
      <c r="AI597" s="80">
        <f t="shared" si="182"/>
        <v>1741356</v>
      </c>
      <c r="AJ597" s="638">
        <f t="shared" si="191"/>
        <v>0</v>
      </c>
      <c r="AK597" s="639" t="s">
        <v>949</v>
      </c>
      <c r="AL597" s="80">
        <f t="shared" si="183"/>
        <v>1934.84</v>
      </c>
      <c r="AM597" s="79"/>
      <c r="AN597" s="322"/>
      <c r="AO597" s="79"/>
      <c r="AP597" s="322"/>
      <c r="AQ597" s="79"/>
      <c r="AR597" s="322"/>
      <c r="AS597" s="79"/>
      <c r="AT597" s="322"/>
      <c r="AU597" s="325">
        <f t="shared" si="184"/>
        <v>0</v>
      </c>
      <c r="AV597" s="90">
        <f t="shared" si="194"/>
        <v>0</v>
      </c>
      <c r="AW597" s="324">
        <f t="shared" si="185"/>
        <v>0</v>
      </c>
      <c r="AX597" s="80">
        <f t="shared" si="195"/>
        <v>0</v>
      </c>
      <c r="AY597" s="326">
        <f t="shared" si="186"/>
        <v>29052.671111111111</v>
      </c>
      <c r="AZ597" s="80">
        <f t="shared" si="187"/>
        <v>30808.073333333334</v>
      </c>
    </row>
    <row r="598" spans="1:52">
      <c r="A598" s="170" t="s">
        <v>306</v>
      </c>
      <c r="B598" s="170" t="s">
        <v>352</v>
      </c>
      <c r="C598" s="229">
        <v>226134</v>
      </c>
      <c r="D598" s="165">
        <v>8</v>
      </c>
      <c r="E598" s="162" t="s">
        <v>442</v>
      </c>
      <c r="F598" s="163" t="s">
        <v>442</v>
      </c>
      <c r="G598" s="79">
        <v>66754</v>
      </c>
      <c r="H598" s="322">
        <v>64613</v>
      </c>
      <c r="I598" s="79">
        <v>14943</v>
      </c>
      <c r="J598" s="322">
        <v>14073</v>
      </c>
      <c r="K598" s="79">
        <v>7850</v>
      </c>
      <c r="L598" s="322">
        <v>8504</v>
      </c>
      <c r="M598" s="79">
        <v>67003</v>
      </c>
      <c r="N598" s="322">
        <v>70254</v>
      </c>
      <c r="O598" s="323">
        <f t="shared" si="178"/>
        <v>156550</v>
      </c>
      <c r="P598" s="638">
        <f t="shared" si="188"/>
        <v>156550</v>
      </c>
      <c r="Q598" s="322">
        <v>512</v>
      </c>
      <c r="R598" s="90">
        <f t="shared" si="192"/>
        <v>5218.333333333333</v>
      </c>
      <c r="S598" s="324">
        <f t="shared" si="179"/>
        <v>157444</v>
      </c>
      <c r="T598" s="638">
        <f t="shared" si="189"/>
        <v>157444</v>
      </c>
      <c r="U598" s="322">
        <v>1250</v>
      </c>
      <c r="V598" s="80">
        <f t="shared" si="193"/>
        <v>5248.1333333333332</v>
      </c>
      <c r="W598" s="79">
        <v>35544</v>
      </c>
      <c r="X598" s="322">
        <v>21583</v>
      </c>
      <c r="Y598" s="79">
        <v>14628</v>
      </c>
      <c r="Z598" s="322">
        <v>41862</v>
      </c>
      <c r="AA598" s="79">
        <v>21536</v>
      </c>
      <c r="AB598" s="322">
        <v>58900</v>
      </c>
      <c r="AC598" s="79">
        <v>22136</v>
      </c>
      <c r="AD598" s="322">
        <v>40473</v>
      </c>
      <c r="AE598" s="323">
        <f t="shared" si="180"/>
        <v>93844</v>
      </c>
      <c r="AF598" s="638">
        <f t="shared" si="190"/>
        <v>0</v>
      </c>
      <c r="AG598" s="639" t="s">
        <v>949</v>
      </c>
      <c r="AH598" s="90">
        <f t="shared" si="181"/>
        <v>104.27111111111111</v>
      </c>
      <c r="AI598" s="80">
        <f t="shared" si="182"/>
        <v>162818</v>
      </c>
      <c r="AJ598" s="638">
        <f t="shared" si="191"/>
        <v>0</v>
      </c>
      <c r="AK598" s="639" t="s">
        <v>949</v>
      </c>
      <c r="AL598" s="80">
        <f t="shared" si="183"/>
        <v>180.9088888888889</v>
      </c>
      <c r="AM598" s="79"/>
      <c r="AN598" s="322"/>
      <c r="AO598" s="79"/>
      <c r="AP598" s="322"/>
      <c r="AQ598" s="79"/>
      <c r="AR598" s="322"/>
      <c r="AS598" s="79"/>
      <c r="AT598" s="322"/>
      <c r="AU598" s="325">
        <f t="shared" si="184"/>
        <v>0</v>
      </c>
      <c r="AV598" s="90">
        <f t="shared" si="194"/>
        <v>0</v>
      </c>
      <c r="AW598" s="324">
        <f t="shared" si="185"/>
        <v>0</v>
      </c>
      <c r="AX598" s="80">
        <f t="shared" si="195"/>
        <v>0</v>
      </c>
      <c r="AY598" s="326">
        <f t="shared" si="186"/>
        <v>5322.6044444444442</v>
      </c>
      <c r="AZ598" s="80">
        <f t="shared" si="187"/>
        <v>5429.0422222222223</v>
      </c>
    </row>
    <row r="599" spans="1:52">
      <c r="A599" s="170" t="s">
        <v>306</v>
      </c>
      <c r="B599" s="170" t="s">
        <v>353</v>
      </c>
      <c r="C599" s="229">
        <v>226578</v>
      </c>
      <c r="D599" s="165">
        <v>8</v>
      </c>
      <c r="E599" s="162" t="s">
        <v>442</v>
      </c>
      <c r="F599" s="163" t="s">
        <v>442</v>
      </c>
      <c r="G599" s="79">
        <v>70734</v>
      </c>
      <c r="H599" s="322">
        <v>68821</v>
      </c>
      <c r="I599" s="79">
        <v>16795</v>
      </c>
      <c r="J599" s="322">
        <v>20312</v>
      </c>
      <c r="K599" s="79">
        <v>10141</v>
      </c>
      <c r="L599" s="322">
        <v>9693</v>
      </c>
      <c r="M599" s="79">
        <v>75352</v>
      </c>
      <c r="N599" s="322">
        <v>71854</v>
      </c>
      <c r="O599" s="323">
        <f t="shared" si="178"/>
        <v>173022</v>
      </c>
      <c r="P599" s="638">
        <f t="shared" si="188"/>
        <v>173022</v>
      </c>
      <c r="Q599" s="322">
        <v>7270</v>
      </c>
      <c r="R599" s="90">
        <f t="shared" si="192"/>
        <v>5767.4</v>
      </c>
      <c r="S599" s="324">
        <f t="shared" si="179"/>
        <v>170680</v>
      </c>
      <c r="T599" s="638">
        <f t="shared" si="189"/>
        <v>170680</v>
      </c>
      <c r="U599" s="322">
        <v>7898</v>
      </c>
      <c r="V599" s="80">
        <f t="shared" si="193"/>
        <v>5689.333333333333</v>
      </c>
      <c r="W599" s="79">
        <v>55385</v>
      </c>
      <c r="X599" s="322">
        <v>44356</v>
      </c>
      <c r="Y599" s="79">
        <v>47548</v>
      </c>
      <c r="Z599" s="322">
        <v>51007</v>
      </c>
      <c r="AA599" s="79">
        <v>73072</v>
      </c>
      <c r="AB599" s="322">
        <v>67135</v>
      </c>
      <c r="AC599" s="79">
        <v>54517</v>
      </c>
      <c r="AD599" s="322">
        <v>41879</v>
      </c>
      <c r="AE599" s="323">
        <f t="shared" si="180"/>
        <v>230522</v>
      </c>
      <c r="AF599" s="638">
        <f t="shared" si="190"/>
        <v>0</v>
      </c>
      <c r="AG599" s="639" t="s">
        <v>949</v>
      </c>
      <c r="AH599" s="90">
        <f t="shared" si="181"/>
        <v>256.13555555555558</v>
      </c>
      <c r="AI599" s="80">
        <f t="shared" si="182"/>
        <v>204377</v>
      </c>
      <c r="AJ599" s="638">
        <f t="shared" si="191"/>
        <v>0</v>
      </c>
      <c r="AK599" s="639" t="s">
        <v>949</v>
      </c>
      <c r="AL599" s="80">
        <f t="shared" si="183"/>
        <v>227.08555555555554</v>
      </c>
      <c r="AM599" s="79"/>
      <c r="AN599" s="322"/>
      <c r="AO599" s="79"/>
      <c r="AP599" s="322"/>
      <c r="AQ599" s="79"/>
      <c r="AR599" s="322"/>
      <c r="AS599" s="79"/>
      <c r="AT599" s="322"/>
      <c r="AU599" s="325">
        <f t="shared" si="184"/>
        <v>0</v>
      </c>
      <c r="AV599" s="90">
        <f t="shared" si="194"/>
        <v>0</v>
      </c>
      <c r="AW599" s="324">
        <f t="shared" si="185"/>
        <v>0</v>
      </c>
      <c r="AX599" s="80">
        <f t="shared" si="195"/>
        <v>0</v>
      </c>
      <c r="AY599" s="326">
        <f t="shared" si="186"/>
        <v>6023.5355555555552</v>
      </c>
      <c r="AZ599" s="80">
        <f t="shared" si="187"/>
        <v>5916.4188888888884</v>
      </c>
    </row>
    <row r="600" spans="1:52">
      <c r="A600" s="170" t="s">
        <v>306</v>
      </c>
      <c r="B600" s="170" t="s">
        <v>384</v>
      </c>
      <c r="C600" s="229">
        <v>227146</v>
      </c>
      <c r="D600" s="165">
        <v>8</v>
      </c>
      <c r="E600" s="162" t="s">
        <v>442</v>
      </c>
      <c r="F600" s="163" t="s">
        <v>442</v>
      </c>
      <c r="G600" s="79">
        <v>67687</v>
      </c>
      <c r="H600" s="322">
        <v>72813</v>
      </c>
      <c r="I600" s="79">
        <v>14263</v>
      </c>
      <c r="J600" s="322">
        <v>16553</v>
      </c>
      <c r="K600" s="79">
        <v>4250</v>
      </c>
      <c r="L600" s="322">
        <v>5462</v>
      </c>
      <c r="M600" s="79">
        <v>70622</v>
      </c>
      <c r="N600" s="322">
        <v>77047</v>
      </c>
      <c r="O600" s="323">
        <f t="shared" si="178"/>
        <v>156822</v>
      </c>
      <c r="P600" s="638">
        <f t="shared" si="188"/>
        <v>156822</v>
      </c>
      <c r="Q600" s="322">
        <v>15388</v>
      </c>
      <c r="R600" s="90">
        <f t="shared" si="192"/>
        <v>5227.3999999999996</v>
      </c>
      <c r="S600" s="324">
        <f t="shared" si="179"/>
        <v>171875</v>
      </c>
      <c r="T600" s="638">
        <f t="shared" si="189"/>
        <v>171875</v>
      </c>
      <c r="U600" s="322">
        <v>19652</v>
      </c>
      <c r="V600" s="80">
        <f t="shared" si="193"/>
        <v>5729.166666666667</v>
      </c>
      <c r="W600" s="79">
        <v>34867</v>
      </c>
      <c r="X600" s="322">
        <v>84213</v>
      </c>
      <c r="Y600" s="79">
        <v>19087</v>
      </c>
      <c r="Z600" s="322">
        <v>95150</v>
      </c>
      <c r="AA600" s="79">
        <v>24704</v>
      </c>
      <c r="AB600" s="322">
        <v>33176</v>
      </c>
      <c r="AC600" s="79">
        <v>33267</v>
      </c>
      <c r="AD600" s="322">
        <v>23831</v>
      </c>
      <c r="AE600" s="323">
        <f t="shared" si="180"/>
        <v>111925</v>
      </c>
      <c r="AF600" s="638">
        <f t="shared" si="190"/>
        <v>0</v>
      </c>
      <c r="AG600" s="639" t="s">
        <v>949</v>
      </c>
      <c r="AH600" s="90">
        <f t="shared" si="181"/>
        <v>124.36111111111111</v>
      </c>
      <c r="AI600" s="80">
        <f t="shared" si="182"/>
        <v>236370</v>
      </c>
      <c r="AJ600" s="638">
        <f t="shared" si="191"/>
        <v>0</v>
      </c>
      <c r="AK600" s="639" t="s">
        <v>949</v>
      </c>
      <c r="AL600" s="80">
        <f t="shared" si="183"/>
        <v>262.63333333333333</v>
      </c>
      <c r="AM600" s="79"/>
      <c r="AN600" s="322"/>
      <c r="AO600" s="79"/>
      <c r="AP600" s="322"/>
      <c r="AQ600" s="79"/>
      <c r="AR600" s="322"/>
      <c r="AS600" s="79"/>
      <c r="AT600" s="322"/>
      <c r="AU600" s="325">
        <f t="shared" si="184"/>
        <v>0</v>
      </c>
      <c r="AV600" s="90">
        <f t="shared" si="194"/>
        <v>0</v>
      </c>
      <c r="AW600" s="324">
        <f t="shared" si="185"/>
        <v>0</v>
      </c>
      <c r="AX600" s="80">
        <f t="shared" si="195"/>
        <v>0</v>
      </c>
      <c r="AY600" s="326">
        <f t="shared" si="186"/>
        <v>5351.7611111111109</v>
      </c>
      <c r="AZ600" s="80">
        <f t="shared" si="187"/>
        <v>5991.8</v>
      </c>
    </row>
    <row r="601" spans="1:52">
      <c r="A601" s="170" t="s">
        <v>306</v>
      </c>
      <c r="B601" s="170" t="s">
        <v>354</v>
      </c>
      <c r="C601" s="229">
        <v>227182</v>
      </c>
      <c r="D601" s="165">
        <v>8</v>
      </c>
      <c r="E601" s="162" t="s">
        <v>442</v>
      </c>
      <c r="F601" s="163" t="s">
        <v>442</v>
      </c>
      <c r="G601" s="79">
        <v>323008</v>
      </c>
      <c r="H601" s="322">
        <v>341083</v>
      </c>
      <c r="I601" s="79">
        <v>150124</v>
      </c>
      <c r="J601" s="322">
        <v>160831</v>
      </c>
      <c r="K601" s="79"/>
      <c r="L601" s="322">
        <v>0</v>
      </c>
      <c r="M601" s="79">
        <v>330410</v>
      </c>
      <c r="N601" s="322">
        <v>340294</v>
      </c>
      <c r="O601" s="323">
        <f t="shared" si="178"/>
        <v>803542</v>
      </c>
      <c r="P601" s="638">
        <f t="shared" si="188"/>
        <v>803542</v>
      </c>
      <c r="Q601" s="322">
        <v>41817</v>
      </c>
      <c r="R601" s="90">
        <f t="shared" si="192"/>
        <v>26784.733333333334</v>
      </c>
      <c r="S601" s="324">
        <f t="shared" si="179"/>
        <v>842208</v>
      </c>
      <c r="T601" s="638">
        <f t="shared" si="189"/>
        <v>842208</v>
      </c>
      <c r="U601" s="322">
        <v>43900</v>
      </c>
      <c r="V601" s="80">
        <f t="shared" si="193"/>
        <v>28073.599999999999</v>
      </c>
      <c r="W601" s="79">
        <v>123612</v>
      </c>
      <c r="X601" s="322">
        <v>159298</v>
      </c>
      <c r="Y601" s="79">
        <v>92052</v>
      </c>
      <c r="Z601" s="322">
        <v>84210</v>
      </c>
      <c r="AA601" s="79">
        <v>124776</v>
      </c>
      <c r="AB601" s="322">
        <v>108155</v>
      </c>
      <c r="AC601" s="79">
        <v>153405</v>
      </c>
      <c r="AD601" s="322">
        <v>199056</v>
      </c>
      <c r="AE601" s="323">
        <f t="shared" si="180"/>
        <v>493845</v>
      </c>
      <c r="AF601" s="638">
        <f t="shared" si="190"/>
        <v>0</v>
      </c>
      <c r="AG601" s="639" t="s">
        <v>949</v>
      </c>
      <c r="AH601" s="90">
        <f t="shared" si="181"/>
        <v>548.7166666666667</v>
      </c>
      <c r="AI601" s="80">
        <f t="shared" si="182"/>
        <v>550719</v>
      </c>
      <c r="AJ601" s="638">
        <f t="shared" si="191"/>
        <v>0</v>
      </c>
      <c r="AK601" s="639" t="s">
        <v>949</v>
      </c>
      <c r="AL601" s="80">
        <f t="shared" si="183"/>
        <v>611.91</v>
      </c>
      <c r="AM601" s="79"/>
      <c r="AN601" s="322"/>
      <c r="AO601" s="79"/>
      <c r="AP601" s="322"/>
      <c r="AQ601" s="79"/>
      <c r="AR601" s="322"/>
      <c r="AS601" s="79"/>
      <c r="AT601" s="322"/>
      <c r="AU601" s="325">
        <f t="shared" si="184"/>
        <v>0</v>
      </c>
      <c r="AV601" s="90">
        <f t="shared" si="194"/>
        <v>0</v>
      </c>
      <c r="AW601" s="324">
        <f t="shared" si="185"/>
        <v>0</v>
      </c>
      <c r="AX601" s="80">
        <f t="shared" si="195"/>
        <v>0</v>
      </c>
      <c r="AY601" s="326">
        <f t="shared" si="186"/>
        <v>27333.45</v>
      </c>
      <c r="AZ601" s="80">
        <f t="shared" si="187"/>
        <v>28685.51</v>
      </c>
    </row>
    <row r="602" spans="1:52">
      <c r="A602" s="170" t="s">
        <v>306</v>
      </c>
      <c r="B602" s="215" t="s">
        <v>355</v>
      </c>
      <c r="C602" s="229">
        <v>227191</v>
      </c>
      <c r="D602" s="165">
        <v>8</v>
      </c>
      <c r="E602" s="162" t="s">
        <v>442</v>
      </c>
      <c r="F602" s="163" t="s">
        <v>442</v>
      </c>
      <c r="G602" s="79">
        <v>69459</v>
      </c>
      <c r="H602" s="322">
        <v>71092</v>
      </c>
      <c r="I602" s="79">
        <v>19814</v>
      </c>
      <c r="J602" s="322">
        <v>20970</v>
      </c>
      <c r="K602" s="79">
        <v>11857</v>
      </c>
      <c r="L602" s="322">
        <v>13138</v>
      </c>
      <c r="M602" s="79">
        <v>68983</v>
      </c>
      <c r="N602" s="322">
        <v>74096</v>
      </c>
      <c r="O602" s="323">
        <f t="shared" si="178"/>
        <v>170113</v>
      </c>
      <c r="P602" s="638">
        <f t="shared" si="188"/>
        <v>170113</v>
      </c>
      <c r="Q602" s="322">
        <v>8628</v>
      </c>
      <c r="R602" s="90">
        <f t="shared" si="192"/>
        <v>5670.4333333333334</v>
      </c>
      <c r="S602" s="324">
        <f t="shared" si="179"/>
        <v>179296</v>
      </c>
      <c r="T602" s="638">
        <f t="shared" si="189"/>
        <v>179296</v>
      </c>
      <c r="U602" s="322">
        <v>11155</v>
      </c>
      <c r="V602" s="80">
        <f t="shared" si="193"/>
        <v>5976.5333333333338</v>
      </c>
      <c r="W602" s="79">
        <v>131541</v>
      </c>
      <c r="X602" s="322">
        <v>122671</v>
      </c>
      <c r="Y602" s="79">
        <v>68066</v>
      </c>
      <c r="Z602" s="322">
        <v>71466</v>
      </c>
      <c r="AA602" s="79">
        <v>74497</v>
      </c>
      <c r="AB602" s="322">
        <v>65638</v>
      </c>
      <c r="AC602" s="79">
        <v>163250</v>
      </c>
      <c r="AD602" s="322">
        <v>167828</v>
      </c>
      <c r="AE602" s="323">
        <f t="shared" si="180"/>
        <v>437354</v>
      </c>
      <c r="AF602" s="638">
        <f t="shared" si="190"/>
        <v>0</v>
      </c>
      <c r="AG602" s="639" t="s">
        <v>949</v>
      </c>
      <c r="AH602" s="90">
        <f t="shared" si="181"/>
        <v>485.94888888888892</v>
      </c>
      <c r="AI602" s="80">
        <f t="shared" si="182"/>
        <v>427603</v>
      </c>
      <c r="AJ602" s="638">
        <f t="shared" si="191"/>
        <v>0</v>
      </c>
      <c r="AK602" s="639" t="s">
        <v>949</v>
      </c>
      <c r="AL602" s="80">
        <f t="shared" si="183"/>
        <v>475.11444444444442</v>
      </c>
      <c r="AM602" s="79"/>
      <c r="AN602" s="322"/>
      <c r="AO602" s="79"/>
      <c r="AP602" s="322"/>
      <c r="AQ602" s="79"/>
      <c r="AR602" s="322"/>
      <c r="AS602" s="79"/>
      <c r="AT602" s="322"/>
      <c r="AU602" s="325">
        <f t="shared" si="184"/>
        <v>0</v>
      </c>
      <c r="AV602" s="90">
        <f t="shared" si="194"/>
        <v>0</v>
      </c>
      <c r="AW602" s="324">
        <f t="shared" si="185"/>
        <v>0</v>
      </c>
      <c r="AX602" s="80">
        <f t="shared" si="195"/>
        <v>0</v>
      </c>
      <c r="AY602" s="326">
        <f t="shared" si="186"/>
        <v>6156.3822222222225</v>
      </c>
      <c r="AZ602" s="80">
        <f t="shared" si="187"/>
        <v>6451.6477777777782</v>
      </c>
    </row>
    <row r="603" spans="1:52">
      <c r="A603" s="170" t="s">
        <v>306</v>
      </c>
      <c r="B603" s="216" t="s">
        <v>356</v>
      </c>
      <c r="C603" s="229">
        <v>420398</v>
      </c>
      <c r="D603" s="165">
        <v>8</v>
      </c>
      <c r="E603" s="162" t="s">
        <v>442</v>
      </c>
      <c r="F603" s="163" t="s">
        <v>442</v>
      </c>
      <c r="G603" s="79">
        <v>82699</v>
      </c>
      <c r="H603" s="322">
        <v>86824</v>
      </c>
      <c r="I603" s="79">
        <v>21933</v>
      </c>
      <c r="J603" s="322">
        <v>25039</v>
      </c>
      <c r="K603" s="79">
        <v>3045</v>
      </c>
      <c r="L603" s="322">
        <v>3266</v>
      </c>
      <c r="M603" s="79">
        <v>90201</v>
      </c>
      <c r="N603" s="322">
        <v>99467</v>
      </c>
      <c r="O603" s="323">
        <f t="shared" si="178"/>
        <v>197878</v>
      </c>
      <c r="P603" s="638">
        <f t="shared" si="188"/>
        <v>197878</v>
      </c>
      <c r="Q603" s="322">
        <v>13778</v>
      </c>
      <c r="R603" s="90">
        <f t="shared" si="192"/>
        <v>6595.9333333333334</v>
      </c>
      <c r="S603" s="324">
        <f t="shared" si="179"/>
        <v>214596</v>
      </c>
      <c r="T603" s="638">
        <f t="shared" si="189"/>
        <v>214596</v>
      </c>
      <c r="U603" s="322">
        <v>15928</v>
      </c>
      <c r="V603" s="80">
        <f t="shared" si="193"/>
        <v>7153.2</v>
      </c>
      <c r="W603" s="79">
        <v>13342</v>
      </c>
      <c r="X603" s="322">
        <v>18855</v>
      </c>
      <c r="Y603" s="79">
        <v>5156</v>
      </c>
      <c r="Z603" s="322">
        <v>4189</v>
      </c>
      <c r="AA603" s="79">
        <v>11211</v>
      </c>
      <c r="AB603" s="322">
        <v>8255</v>
      </c>
      <c r="AC603" s="333">
        <v>18628</v>
      </c>
      <c r="AD603" s="322">
        <v>35907</v>
      </c>
      <c r="AE603" s="323">
        <f t="shared" si="180"/>
        <v>48337</v>
      </c>
      <c r="AF603" s="638">
        <f t="shared" si="190"/>
        <v>0</v>
      </c>
      <c r="AG603" s="639" t="s">
        <v>949</v>
      </c>
      <c r="AH603" s="90">
        <f t="shared" si="181"/>
        <v>53.707777777777778</v>
      </c>
      <c r="AI603" s="80">
        <f t="shared" si="182"/>
        <v>67206</v>
      </c>
      <c r="AJ603" s="638">
        <f t="shared" si="191"/>
        <v>0</v>
      </c>
      <c r="AK603" s="639" t="s">
        <v>949</v>
      </c>
      <c r="AL603" s="80">
        <f t="shared" si="183"/>
        <v>74.673333333333332</v>
      </c>
      <c r="AM603" s="79"/>
      <c r="AN603" s="322"/>
      <c r="AO603" s="79"/>
      <c r="AP603" s="322"/>
      <c r="AQ603" s="79"/>
      <c r="AR603" s="322"/>
      <c r="AS603" s="79"/>
      <c r="AT603" s="322"/>
      <c r="AU603" s="325">
        <f t="shared" si="184"/>
        <v>0</v>
      </c>
      <c r="AV603" s="90">
        <f t="shared" si="194"/>
        <v>0</v>
      </c>
      <c r="AW603" s="324">
        <f t="shared" si="185"/>
        <v>0</v>
      </c>
      <c r="AX603" s="80">
        <f t="shared" si="195"/>
        <v>0</v>
      </c>
      <c r="AY603" s="326">
        <f t="shared" si="186"/>
        <v>6649.6411111111111</v>
      </c>
      <c r="AZ603" s="80">
        <f t="shared" si="187"/>
        <v>7227.873333333333</v>
      </c>
    </row>
    <row r="604" spans="1:52">
      <c r="A604" s="170" t="s">
        <v>306</v>
      </c>
      <c r="B604" s="216" t="s">
        <v>357</v>
      </c>
      <c r="C604" s="229">
        <v>246354</v>
      </c>
      <c r="D604" s="165">
        <v>8</v>
      </c>
      <c r="E604" s="162" t="s">
        <v>442</v>
      </c>
      <c r="F604" s="163" t="s">
        <v>442</v>
      </c>
      <c r="G604" s="79">
        <v>65277</v>
      </c>
      <c r="H604" s="322">
        <v>63996</v>
      </c>
      <c r="I604" s="79">
        <v>14830</v>
      </c>
      <c r="J604" s="322">
        <v>16135</v>
      </c>
      <c r="K604" s="79">
        <v>4957</v>
      </c>
      <c r="L604" s="322">
        <v>5384</v>
      </c>
      <c r="M604" s="79">
        <v>68246</v>
      </c>
      <c r="N604" s="322">
        <v>66314</v>
      </c>
      <c r="O604" s="323">
        <f t="shared" si="178"/>
        <v>153310</v>
      </c>
      <c r="P604" s="638">
        <f t="shared" si="188"/>
        <v>153310</v>
      </c>
      <c r="Q604" s="322">
        <v>12109</v>
      </c>
      <c r="R604" s="90">
        <f t="shared" si="192"/>
        <v>5110.333333333333</v>
      </c>
      <c r="S604" s="324">
        <f t="shared" si="179"/>
        <v>151829</v>
      </c>
      <c r="T604" s="638">
        <f t="shared" si="189"/>
        <v>151829</v>
      </c>
      <c r="U604" s="322">
        <v>13038</v>
      </c>
      <c r="V604" s="80">
        <f t="shared" si="193"/>
        <v>5060.9666666666662</v>
      </c>
      <c r="W604" s="79">
        <v>33728</v>
      </c>
      <c r="X604" s="322">
        <v>61827</v>
      </c>
      <c r="Y604" s="79">
        <v>21790</v>
      </c>
      <c r="Z604" s="322">
        <v>43408</v>
      </c>
      <c r="AA604" s="79">
        <v>46207</v>
      </c>
      <c r="AB604" s="322">
        <v>53657</v>
      </c>
      <c r="AC604" s="79">
        <v>63358</v>
      </c>
      <c r="AD604" s="322">
        <v>85165</v>
      </c>
      <c r="AE604" s="323">
        <f t="shared" si="180"/>
        <v>165083</v>
      </c>
      <c r="AF604" s="638">
        <f t="shared" si="190"/>
        <v>0</v>
      </c>
      <c r="AG604" s="639" t="s">
        <v>949</v>
      </c>
      <c r="AH604" s="90">
        <f t="shared" si="181"/>
        <v>183.42555555555555</v>
      </c>
      <c r="AI604" s="80">
        <f t="shared" si="182"/>
        <v>244057</v>
      </c>
      <c r="AJ604" s="638">
        <f t="shared" si="191"/>
        <v>0</v>
      </c>
      <c r="AK604" s="639" t="s">
        <v>949</v>
      </c>
      <c r="AL604" s="80">
        <f t="shared" si="183"/>
        <v>271.17444444444442</v>
      </c>
      <c r="AM604" s="79"/>
      <c r="AN604" s="322"/>
      <c r="AO604" s="79"/>
      <c r="AP604" s="322"/>
      <c r="AQ604" s="79"/>
      <c r="AR604" s="322"/>
      <c r="AS604" s="79"/>
      <c r="AT604" s="322"/>
      <c r="AU604" s="325">
        <f t="shared" si="184"/>
        <v>0</v>
      </c>
      <c r="AV604" s="90">
        <f t="shared" si="194"/>
        <v>0</v>
      </c>
      <c r="AW604" s="324">
        <f t="shared" si="185"/>
        <v>0</v>
      </c>
      <c r="AX604" s="80">
        <f t="shared" si="195"/>
        <v>0</v>
      </c>
      <c r="AY604" s="326">
        <f t="shared" si="186"/>
        <v>5293.7588888888886</v>
      </c>
      <c r="AZ604" s="80">
        <f t="shared" si="187"/>
        <v>5332.1411111111111</v>
      </c>
    </row>
    <row r="605" spans="1:52">
      <c r="A605" s="170" t="s">
        <v>306</v>
      </c>
      <c r="B605" s="215" t="s">
        <v>358</v>
      </c>
      <c r="C605" s="229">
        <v>227766</v>
      </c>
      <c r="D605" s="165">
        <v>8</v>
      </c>
      <c r="E605" s="162" t="s">
        <v>442</v>
      </c>
      <c r="F605" s="163" t="s">
        <v>442</v>
      </c>
      <c r="G605" s="79">
        <v>116429</v>
      </c>
      <c r="H605" s="322">
        <v>108744</v>
      </c>
      <c r="I605" s="79">
        <v>41084</v>
      </c>
      <c r="J605" s="322">
        <v>44226</v>
      </c>
      <c r="K605" s="79">
        <v>20254</v>
      </c>
      <c r="L605" s="322">
        <v>20609</v>
      </c>
      <c r="M605" s="79">
        <v>102949</v>
      </c>
      <c r="N605" s="322">
        <v>105202</v>
      </c>
      <c r="O605" s="323">
        <f t="shared" si="178"/>
        <v>280716</v>
      </c>
      <c r="P605" s="638">
        <f t="shared" si="188"/>
        <v>280716</v>
      </c>
      <c r="Q605" s="322">
        <v>16732</v>
      </c>
      <c r="R605" s="90">
        <f t="shared" si="192"/>
        <v>9357.2000000000007</v>
      </c>
      <c r="S605" s="324">
        <f t="shared" si="179"/>
        <v>278781</v>
      </c>
      <c r="T605" s="638">
        <f t="shared" si="189"/>
        <v>278781</v>
      </c>
      <c r="U605" s="322">
        <v>20055</v>
      </c>
      <c r="V605" s="80">
        <f t="shared" si="193"/>
        <v>9292.7000000000007</v>
      </c>
      <c r="W605" s="79">
        <v>200933</v>
      </c>
      <c r="X605" s="322">
        <v>151151</v>
      </c>
      <c r="Y605" s="79">
        <v>216991</v>
      </c>
      <c r="Z605" s="322">
        <v>183877</v>
      </c>
      <c r="AA605" s="79">
        <v>186780</v>
      </c>
      <c r="AB605" s="322">
        <v>172059</v>
      </c>
      <c r="AC605" s="79">
        <v>243980</v>
      </c>
      <c r="AD605" s="322">
        <v>238614</v>
      </c>
      <c r="AE605" s="323">
        <f t="shared" si="180"/>
        <v>848684</v>
      </c>
      <c r="AF605" s="638">
        <f t="shared" si="190"/>
        <v>0</v>
      </c>
      <c r="AG605" s="639" t="s">
        <v>949</v>
      </c>
      <c r="AH605" s="90">
        <f t="shared" si="181"/>
        <v>942.98222222222228</v>
      </c>
      <c r="AI605" s="80">
        <f t="shared" si="182"/>
        <v>745701</v>
      </c>
      <c r="AJ605" s="638">
        <f t="shared" si="191"/>
        <v>0</v>
      </c>
      <c r="AK605" s="639" t="s">
        <v>949</v>
      </c>
      <c r="AL605" s="80">
        <f t="shared" si="183"/>
        <v>828.55666666666662</v>
      </c>
      <c r="AM605" s="79"/>
      <c r="AN605" s="322"/>
      <c r="AO605" s="79"/>
      <c r="AP605" s="322"/>
      <c r="AQ605" s="79"/>
      <c r="AR605" s="322"/>
      <c r="AS605" s="79"/>
      <c r="AT605" s="322"/>
      <c r="AU605" s="325">
        <f t="shared" si="184"/>
        <v>0</v>
      </c>
      <c r="AV605" s="90">
        <f t="shared" si="194"/>
        <v>0</v>
      </c>
      <c r="AW605" s="324">
        <f t="shared" si="185"/>
        <v>0</v>
      </c>
      <c r="AX605" s="80">
        <f t="shared" si="195"/>
        <v>0</v>
      </c>
      <c r="AY605" s="326">
        <f t="shared" si="186"/>
        <v>10300.182222222224</v>
      </c>
      <c r="AZ605" s="80">
        <f t="shared" si="187"/>
        <v>10121.256666666668</v>
      </c>
    </row>
    <row r="606" spans="1:52">
      <c r="A606" s="170" t="s">
        <v>306</v>
      </c>
      <c r="B606" s="216" t="s">
        <v>359</v>
      </c>
      <c r="C606" s="229">
        <v>227924</v>
      </c>
      <c r="D606" s="165">
        <v>8</v>
      </c>
      <c r="E606" s="162" t="s">
        <v>442</v>
      </c>
      <c r="F606" s="163" t="s">
        <v>442</v>
      </c>
      <c r="G606" s="79">
        <v>180695</v>
      </c>
      <c r="H606" s="322">
        <v>183907</v>
      </c>
      <c r="I606" s="79">
        <v>33632</v>
      </c>
      <c r="J606" s="322">
        <v>45960</v>
      </c>
      <c r="K606" s="79">
        <v>28560</v>
      </c>
      <c r="L606" s="322">
        <v>18125</v>
      </c>
      <c r="M606" s="79">
        <v>185418</v>
      </c>
      <c r="N606" s="322">
        <v>185459</v>
      </c>
      <c r="O606" s="323">
        <f t="shared" si="178"/>
        <v>428305</v>
      </c>
      <c r="P606" s="638">
        <f t="shared" si="188"/>
        <v>428305</v>
      </c>
      <c r="Q606" s="322">
        <v>15409</v>
      </c>
      <c r="R606" s="90">
        <f t="shared" si="192"/>
        <v>14276.833333333334</v>
      </c>
      <c r="S606" s="324">
        <f t="shared" si="179"/>
        <v>433451</v>
      </c>
      <c r="T606" s="638">
        <f t="shared" si="189"/>
        <v>433451</v>
      </c>
      <c r="U606" s="322">
        <v>18352</v>
      </c>
      <c r="V606" s="80">
        <f t="shared" si="193"/>
        <v>14448.366666666667</v>
      </c>
      <c r="W606" s="79">
        <v>100444</v>
      </c>
      <c r="X606" s="322">
        <v>98954</v>
      </c>
      <c r="Y606" s="79">
        <v>75584</v>
      </c>
      <c r="Z606" s="322">
        <v>78124</v>
      </c>
      <c r="AA606" s="79">
        <v>94670</v>
      </c>
      <c r="AB606" s="322">
        <v>104905</v>
      </c>
      <c r="AC606" s="79">
        <v>120704</v>
      </c>
      <c r="AD606" s="322">
        <v>137060</v>
      </c>
      <c r="AE606" s="323">
        <f t="shared" si="180"/>
        <v>391402</v>
      </c>
      <c r="AF606" s="638">
        <f t="shared" si="190"/>
        <v>0</v>
      </c>
      <c r="AG606" s="639" t="s">
        <v>949</v>
      </c>
      <c r="AH606" s="90">
        <f t="shared" si="181"/>
        <v>434.89111111111112</v>
      </c>
      <c r="AI606" s="80">
        <f t="shared" si="182"/>
        <v>419043</v>
      </c>
      <c r="AJ606" s="638">
        <f t="shared" si="191"/>
        <v>0</v>
      </c>
      <c r="AK606" s="639" t="s">
        <v>949</v>
      </c>
      <c r="AL606" s="80">
        <f t="shared" si="183"/>
        <v>465.60333333333335</v>
      </c>
      <c r="AM606" s="79"/>
      <c r="AN606" s="322"/>
      <c r="AO606" s="79"/>
      <c r="AP606" s="322"/>
      <c r="AQ606" s="79"/>
      <c r="AR606" s="322"/>
      <c r="AS606" s="79"/>
      <c r="AT606" s="322"/>
      <c r="AU606" s="325">
        <f t="shared" si="184"/>
        <v>0</v>
      </c>
      <c r="AV606" s="90">
        <f t="shared" si="194"/>
        <v>0</v>
      </c>
      <c r="AW606" s="324">
        <f t="shared" si="185"/>
        <v>0</v>
      </c>
      <c r="AX606" s="80">
        <f t="shared" si="195"/>
        <v>0</v>
      </c>
      <c r="AY606" s="326">
        <f t="shared" si="186"/>
        <v>14711.724444444446</v>
      </c>
      <c r="AZ606" s="80">
        <f t="shared" si="187"/>
        <v>14913.97</v>
      </c>
    </row>
    <row r="607" spans="1:52">
      <c r="A607" s="170" t="s">
        <v>306</v>
      </c>
      <c r="B607" s="170" t="s">
        <v>360</v>
      </c>
      <c r="C607" s="229">
        <v>227979</v>
      </c>
      <c r="D607" s="168">
        <v>8</v>
      </c>
      <c r="E607" s="162" t="s">
        <v>442</v>
      </c>
      <c r="F607" s="163" t="s">
        <v>442</v>
      </c>
      <c r="G607" s="79">
        <v>197610</v>
      </c>
      <c r="H607" s="322">
        <v>198622</v>
      </c>
      <c r="I607" s="79">
        <v>53031</v>
      </c>
      <c r="J607" s="322">
        <v>55959</v>
      </c>
      <c r="K607" s="79"/>
      <c r="L607" s="322">
        <v>0</v>
      </c>
      <c r="M607" s="79">
        <v>222244</v>
      </c>
      <c r="N607" s="322">
        <v>234474</v>
      </c>
      <c r="O607" s="323">
        <f t="shared" si="178"/>
        <v>472885</v>
      </c>
      <c r="P607" s="638">
        <f t="shared" si="188"/>
        <v>472885</v>
      </c>
      <c r="Q607" s="322">
        <v>19347</v>
      </c>
      <c r="R607" s="90">
        <f t="shared" si="192"/>
        <v>15762.833333333334</v>
      </c>
      <c r="S607" s="324">
        <f t="shared" si="179"/>
        <v>489055</v>
      </c>
      <c r="T607" s="638">
        <f t="shared" si="189"/>
        <v>489055</v>
      </c>
      <c r="U607" s="322">
        <v>22068</v>
      </c>
      <c r="V607" s="80">
        <f t="shared" si="193"/>
        <v>16301.833333333334</v>
      </c>
      <c r="W607" s="79">
        <v>143417</v>
      </c>
      <c r="X607" s="322">
        <v>131006</v>
      </c>
      <c r="Y607" s="79">
        <v>90139</v>
      </c>
      <c r="Z607" s="322">
        <v>87803</v>
      </c>
      <c r="AA607" s="79">
        <v>170567</v>
      </c>
      <c r="AB607" s="322">
        <v>131353</v>
      </c>
      <c r="AC607" s="79">
        <v>159193</v>
      </c>
      <c r="AD607" s="322">
        <v>134299</v>
      </c>
      <c r="AE607" s="323">
        <f t="shared" si="180"/>
        <v>563316</v>
      </c>
      <c r="AF607" s="638">
        <f t="shared" si="190"/>
        <v>0</v>
      </c>
      <c r="AG607" s="639" t="s">
        <v>949</v>
      </c>
      <c r="AH607" s="90">
        <f t="shared" si="181"/>
        <v>625.90666666666664</v>
      </c>
      <c r="AI607" s="80">
        <f t="shared" si="182"/>
        <v>484461</v>
      </c>
      <c r="AJ607" s="638">
        <f t="shared" si="191"/>
        <v>0</v>
      </c>
      <c r="AK607" s="639" t="s">
        <v>949</v>
      </c>
      <c r="AL607" s="80">
        <f t="shared" si="183"/>
        <v>538.29</v>
      </c>
      <c r="AM607" s="79"/>
      <c r="AN607" s="322"/>
      <c r="AO607" s="79"/>
      <c r="AP607" s="322"/>
      <c r="AQ607" s="79"/>
      <c r="AR607" s="322"/>
      <c r="AS607" s="79"/>
      <c r="AT607" s="322"/>
      <c r="AU607" s="325">
        <f t="shared" si="184"/>
        <v>0</v>
      </c>
      <c r="AV607" s="90">
        <f t="shared" si="194"/>
        <v>0</v>
      </c>
      <c r="AW607" s="324">
        <f t="shared" si="185"/>
        <v>0</v>
      </c>
      <c r="AX607" s="80">
        <f t="shared" si="195"/>
        <v>0</v>
      </c>
      <c r="AY607" s="326">
        <f t="shared" si="186"/>
        <v>16388.740000000002</v>
      </c>
      <c r="AZ607" s="80">
        <f t="shared" si="187"/>
        <v>16840.123333333333</v>
      </c>
    </row>
    <row r="608" spans="1:52">
      <c r="A608" s="170" t="s">
        <v>306</v>
      </c>
      <c r="B608" s="170" t="s">
        <v>361</v>
      </c>
      <c r="C608" s="229">
        <v>228158</v>
      </c>
      <c r="D608" s="165">
        <v>8</v>
      </c>
      <c r="E608" s="162" t="s">
        <v>442</v>
      </c>
      <c r="F608" s="163" t="s">
        <v>442</v>
      </c>
      <c r="G608" s="79">
        <v>84331</v>
      </c>
      <c r="H608" s="322">
        <v>84718</v>
      </c>
      <c r="I608" s="79">
        <v>13428</v>
      </c>
      <c r="J608" s="322">
        <v>12826</v>
      </c>
      <c r="K608" s="79">
        <v>6059</v>
      </c>
      <c r="L608" s="322">
        <v>5753</v>
      </c>
      <c r="M608" s="79">
        <v>89625</v>
      </c>
      <c r="N608" s="322">
        <v>88697</v>
      </c>
      <c r="O608" s="323">
        <f t="shared" si="178"/>
        <v>193443</v>
      </c>
      <c r="P608" s="638">
        <f t="shared" si="188"/>
        <v>193443</v>
      </c>
      <c r="Q608" s="322">
        <v>8794</v>
      </c>
      <c r="R608" s="90">
        <f t="shared" si="192"/>
        <v>6448.1</v>
      </c>
      <c r="S608" s="324">
        <f t="shared" si="179"/>
        <v>191994</v>
      </c>
      <c r="T608" s="638">
        <f t="shared" si="189"/>
        <v>191994</v>
      </c>
      <c r="U608" s="322">
        <v>18520</v>
      </c>
      <c r="V608" s="80">
        <f t="shared" si="193"/>
        <v>6399.8</v>
      </c>
      <c r="W608" s="79">
        <v>46416</v>
      </c>
      <c r="X608" s="322">
        <v>42001</v>
      </c>
      <c r="Y608" s="79">
        <v>53847</v>
      </c>
      <c r="Z608" s="322">
        <v>54767</v>
      </c>
      <c r="AA608" s="79">
        <v>46797</v>
      </c>
      <c r="AB608" s="322">
        <v>50661</v>
      </c>
      <c r="AC608" s="79">
        <v>45622</v>
      </c>
      <c r="AD608" s="322">
        <v>73789</v>
      </c>
      <c r="AE608" s="323">
        <f t="shared" si="180"/>
        <v>192682</v>
      </c>
      <c r="AF608" s="638">
        <f t="shared" si="190"/>
        <v>0</v>
      </c>
      <c r="AG608" s="639" t="s">
        <v>949</v>
      </c>
      <c r="AH608" s="90">
        <f t="shared" si="181"/>
        <v>214.0911111111111</v>
      </c>
      <c r="AI608" s="80">
        <f t="shared" si="182"/>
        <v>221218</v>
      </c>
      <c r="AJ608" s="638">
        <f t="shared" si="191"/>
        <v>0</v>
      </c>
      <c r="AK608" s="639" t="s">
        <v>949</v>
      </c>
      <c r="AL608" s="80">
        <f t="shared" si="183"/>
        <v>245.79777777777778</v>
      </c>
      <c r="AM608" s="79"/>
      <c r="AN608" s="322"/>
      <c r="AO608" s="79"/>
      <c r="AP608" s="322"/>
      <c r="AQ608" s="79"/>
      <c r="AR608" s="322"/>
      <c r="AS608" s="79"/>
      <c r="AT608" s="322"/>
      <c r="AU608" s="325">
        <f t="shared" si="184"/>
        <v>0</v>
      </c>
      <c r="AV608" s="90">
        <f t="shared" si="194"/>
        <v>0</v>
      </c>
      <c r="AW608" s="324">
        <f t="shared" si="185"/>
        <v>0</v>
      </c>
      <c r="AX608" s="80">
        <f t="shared" si="195"/>
        <v>0</v>
      </c>
      <c r="AY608" s="326">
        <f t="shared" si="186"/>
        <v>6662.1911111111112</v>
      </c>
      <c r="AZ608" s="80">
        <f t="shared" si="187"/>
        <v>6645.597777777778</v>
      </c>
    </row>
    <row r="609" spans="1:52">
      <c r="A609" s="170" t="s">
        <v>306</v>
      </c>
      <c r="B609" s="170" t="s">
        <v>362</v>
      </c>
      <c r="C609" s="229">
        <v>409315</v>
      </c>
      <c r="D609" s="165">
        <v>8</v>
      </c>
      <c r="E609" s="162" t="s">
        <v>442</v>
      </c>
      <c r="F609" s="163" t="s">
        <v>442</v>
      </c>
      <c r="G609" s="79">
        <v>142223</v>
      </c>
      <c r="H609" s="322">
        <v>156853</v>
      </c>
      <c r="I609" s="79">
        <v>24368</v>
      </c>
      <c r="J609" s="322">
        <v>29231</v>
      </c>
      <c r="K609" s="79">
        <v>23775</v>
      </c>
      <c r="L609" s="322">
        <v>27719</v>
      </c>
      <c r="M609" s="79">
        <v>161452</v>
      </c>
      <c r="N609" s="322">
        <v>175464</v>
      </c>
      <c r="O609" s="323">
        <f t="shared" si="178"/>
        <v>351818</v>
      </c>
      <c r="P609" s="638">
        <f t="shared" si="188"/>
        <v>351818</v>
      </c>
      <c r="Q609" s="322">
        <v>53414</v>
      </c>
      <c r="R609" s="90">
        <f t="shared" si="192"/>
        <v>11727.266666666666</v>
      </c>
      <c r="S609" s="324">
        <f t="shared" si="179"/>
        <v>389267</v>
      </c>
      <c r="T609" s="638">
        <f t="shared" si="189"/>
        <v>389267</v>
      </c>
      <c r="U609" s="322">
        <v>70739</v>
      </c>
      <c r="V609" s="80">
        <f t="shared" si="193"/>
        <v>12975.566666666668</v>
      </c>
      <c r="W609" s="79">
        <v>30419</v>
      </c>
      <c r="X609" s="322">
        <v>45454</v>
      </c>
      <c r="Y609" s="79">
        <v>30465</v>
      </c>
      <c r="Z609" s="322">
        <v>39703</v>
      </c>
      <c r="AA609" s="79">
        <v>37236</v>
      </c>
      <c r="AB609" s="322">
        <v>43180</v>
      </c>
      <c r="AC609" s="79">
        <v>38947</v>
      </c>
      <c r="AD609" s="322">
        <v>40162</v>
      </c>
      <c r="AE609" s="323">
        <f t="shared" si="180"/>
        <v>137067</v>
      </c>
      <c r="AF609" s="638">
        <f t="shared" si="190"/>
        <v>0</v>
      </c>
      <c r="AG609" s="639" t="s">
        <v>949</v>
      </c>
      <c r="AH609" s="90">
        <f t="shared" si="181"/>
        <v>152.29666666666665</v>
      </c>
      <c r="AI609" s="80">
        <f t="shared" si="182"/>
        <v>168499</v>
      </c>
      <c r="AJ609" s="638">
        <f t="shared" si="191"/>
        <v>0</v>
      </c>
      <c r="AK609" s="639" t="s">
        <v>949</v>
      </c>
      <c r="AL609" s="80">
        <f t="shared" si="183"/>
        <v>187.2211111111111</v>
      </c>
      <c r="AM609" s="79"/>
      <c r="AN609" s="322"/>
      <c r="AO609" s="79"/>
      <c r="AP609" s="322"/>
      <c r="AQ609" s="79"/>
      <c r="AR609" s="322"/>
      <c r="AS609" s="79"/>
      <c r="AT609" s="322"/>
      <c r="AU609" s="325">
        <f t="shared" si="184"/>
        <v>0</v>
      </c>
      <c r="AV609" s="90">
        <f t="shared" si="194"/>
        <v>0</v>
      </c>
      <c r="AW609" s="324">
        <f t="shared" si="185"/>
        <v>0</v>
      </c>
      <c r="AX609" s="80">
        <f t="shared" si="195"/>
        <v>0</v>
      </c>
      <c r="AY609" s="326">
        <f t="shared" si="186"/>
        <v>11879.563333333334</v>
      </c>
      <c r="AZ609" s="80">
        <f t="shared" si="187"/>
        <v>13162.787777777779</v>
      </c>
    </row>
    <row r="610" spans="1:52">
      <c r="A610" s="170" t="s">
        <v>306</v>
      </c>
      <c r="B610" s="216" t="s">
        <v>363</v>
      </c>
      <c r="C610" s="229">
        <v>227854</v>
      </c>
      <c r="D610" s="165">
        <v>8</v>
      </c>
      <c r="E610" s="162" t="s">
        <v>442</v>
      </c>
      <c r="F610" s="163" t="s">
        <v>442</v>
      </c>
      <c r="G610" s="79">
        <v>87454</v>
      </c>
      <c r="H610" s="322">
        <v>85644</v>
      </c>
      <c r="I610" s="79">
        <v>24855</v>
      </c>
      <c r="J610" s="322">
        <v>26641</v>
      </c>
      <c r="K610" s="79">
        <v>6477</v>
      </c>
      <c r="L610" s="322">
        <v>5878</v>
      </c>
      <c r="M610" s="79">
        <v>84327</v>
      </c>
      <c r="N610" s="322">
        <v>82104</v>
      </c>
      <c r="O610" s="323">
        <f t="shared" si="178"/>
        <v>203113</v>
      </c>
      <c r="P610" s="638">
        <f t="shared" si="188"/>
        <v>203113</v>
      </c>
      <c r="Q610" s="322">
        <v>7744</v>
      </c>
      <c r="R610" s="90">
        <f t="shared" si="192"/>
        <v>6770.4333333333334</v>
      </c>
      <c r="S610" s="324">
        <f t="shared" si="179"/>
        <v>200267</v>
      </c>
      <c r="T610" s="638">
        <f t="shared" si="189"/>
        <v>200267</v>
      </c>
      <c r="U610" s="322">
        <v>11866</v>
      </c>
      <c r="V610" s="80">
        <f t="shared" si="193"/>
        <v>6675.5666666666666</v>
      </c>
      <c r="W610" s="79">
        <v>23136</v>
      </c>
      <c r="X610" s="322">
        <v>26372</v>
      </c>
      <c r="Y610" s="79">
        <v>34231</v>
      </c>
      <c r="Z610" s="322">
        <v>21378</v>
      </c>
      <c r="AA610" s="79">
        <v>33771</v>
      </c>
      <c r="AB610" s="322">
        <v>26591</v>
      </c>
      <c r="AC610" s="79">
        <v>40520</v>
      </c>
      <c r="AD610" s="322">
        <v>38966</v>
      </c>
      <c r="AE610" s="323">
        <f t="shared" si="180"/>
        <v>131658</v>
      </c>
      <c r="AF610" s="638">
        <f t="shared" si="190"/>
        <v>0</v>
      </c>
      <c r="AG610" s="639" t="s">
        <v>949</v>
      </c>
      <c r="AH610" s="90">
        <f t="shared" si="181"/>
        <v>146.28666666666666</v>
      </c>
      <c r="AI610" s="80">
        <f t="shared" si="182"/>
        <v>113307</v>
      </c>
      <c r="AJ610" s="638">
        <f t="shared" si="191"/>
        <v>0</v>
      </c>
      <c r="AK610" s="639" t="s">
        <v>949</v>
      </c>
      <c r="AL610" s="80">
        <f t="shared" si="183"/>
        <v>125.89666666666666</v>
      </c>
      <c r="AM610" s="79"/>
      <c r="AN610" s="322"/>
      <c r="AO610" s="79"/>
      <c r="AP610" s="322"/>
      <c r="AQ610" s="79"/>
      <c r="AR610" s="322"/>
      <c r="AS610" s="79"/>
      <c r="AT610" s="322"/>
      <c r="AU610" s="325">
        <f t="shared" si="184"/>
        <v>0</v>
      </c>
      <c r="AV610" s="90">
        <f t="shared" si="194"/>
        <v>0</v>
      </c>
      <c r="AW610" s="324">
        <f t="shared" si="185"/>
        <v>0</v>
      </c>
      <c r="AX610" s="80">
        <f t="shared" si="195"/>
        <v>0</v>
      </c>
      <c r="AY610" s="326">
        <f t="shared" si="186"/>
        <v>6916.72</v>
      </c>
      <c r="AZ610" s="80">
        <f t="shared" si="187"/>
        <v>6801.4633333333331</v>
      </c>
    </row>
    <row r="611" spans="1:52">
      <c r="A611" s="170" t="s">
        <v>306</v>
      </c>
      <c r="B611" s="170" t="s">
        <v>364</v>
      </c>
      <c r="C611" s="229">
        <v>228547</v>
      </c>
      <c r="D611" s="165">
        <v>8</v>
      </c>
      <c r="E611" s="162" t="s">
        <v>442</v>
      </c>
      <c r="F611" s="163" t="s">
        <v>442</v>
      </c>
      <c r="G611" s="79">
        <v>278738</v>
      </c>
      <c r="H611" s="322">
        <v>293520</v>
      </c>
      <c r="I611" s="79">
        <v>111624</v>
      </c>
      <c r="J611" s="322">
        <v>135531</v>
      </c>
      <c r="K611" s="79"/>
      <c r="L611" s="322">
        <v>0</v>
      </c>
      <c r="M611" s="79">
        <v>299150</v>
      </c>
      <c r="N611" s="322">
        <v>314581</v>
      </c>
      <c r="O611" s="323">
        <f t="shared" si="178"/>
        <v>689512</v>
      </c>
      <c r="P611" s="638">
        <f t="shared" si="188"/>
        <v>689512</v>
      </c>
      <c r="Q611" s="322">
        <v>19643</v>
      </c>
      <c r="R611" s="90">
        <f t="shared" si="192"/>
        <v>22983.733333333334</v>
      </c>
      <c r="S611" s="324">
        <f t="shared" si="179"/>
        <v>743632</v>
      </c>
      <c r="T611" s="638">
        <f t="shared" si="189"/>
        <v>743632</v>
      </c>
      <c r="U611" s="322">
        <v>20175</v>
      </c>
      <c r="V611" s="80">
        <f t="shared" si="193"/>
        <v>24787.733333333334</v>
      </c>
      <c r="W611" s="79">
        <v>123742</v>
      </c>
      <c r="X611" s="322">
        <v>154477</v>
      </c>
      <c r="Y611" s="79">
        <v>163363</v>
      </c>
      <c r="Z611" s="322">
        <v>142443</v>
      </c>
      <c r="AA611" s="79">
        <v>140424</v>
      </c>
      <c r="AB611" s="322">
        <v>147109</v>
      </c>
      <c r="AC611" s="79">
        <v>167872</v>
      </c>
      <c r="AD611" s="322">
        <v>216751</v>
      </c>
      <c r="AE611" s="323">
        <f t="shared" si="180"/>
        <v>595401</v>
      </c>
      <c r="AF611" s="638">
        <f t="shared" si="190"/>
        <v>0</v>
      </c>
      <c r="AG611" s="639" t="s">
        <v>949</v>
      </c>
      <c r="AH611" s="90">
        <f t="shared" si="181"/>
        <v>661.55666666666662</v>
      </c>
      <c r="AI611" s="80">
        <f t="shared" si="182"/>
        <v>660780</v>
      </c>
      <c r="AJ611" s="638">
        <f t="shared" si="191"/>
        <v>0</v>
      </c>
      <c r="AK611" s="639" t="s">
        <v>949</v>
      </c>
      <c r="AL611" s="80">
        <f t="shared" si="183"/>
        <v>734.2</v>
      </c>
      <c r="AM611" s="79"/>
      <c r="AN611" s="322"/>
      <c r="AO611" s="79"/>
      <c r="AP611" s="322"/>
      <c r="AQ611" s="79"/>
      <c r="AR611" s="322"/>
      <c r="AS611" s="79"/>
      <c r="AT611" s="322"/>
      <c r="AU611" s="325">
        <f t="shared" si="184"/>
        <v>0</v>
      </c>
      <c r="AV611" s="90">
        <f t="shared" si="194"/>
        <v>0</v>
      </c>
      <c r="AW611" s="324">
        <f t="shared" si="185"/>
        <v>0</v>
      </c>
      <c r="AX611" s="80">
        <f t="shared" si="195"/>
        <v>0</v>
      </c>
      <c r="AY611" s="326">
        <f t="shared" si="186"/>
        <v>23645.29</v>
      </c>
      <c r="AZ611" s="80">
        <f t="shared" si="187"/>
        <v>25521.933333333334</v>
      </c>
    </row>
    <row r="612" spans="1:52">
      <c r="A612" s="170" t="s">
        <v>306</v>
      </c>
      <c r="B612" s="170" t="s">
        <v>365</v>
      </c>
      <c r="C612" s="229">
        <v>229072</v>
      </c>
      <c r="D612" s="165">
        <v>8</v>
      </c>
      <c r="E612" s="162" t="s">
        <v>442</v>
      </c>
      <c r="F612" s="163" t="s">
        <v>442</v>
      </c>
      <c r="G612" s="79">
        <v>81467</v>
      </c>
      <c r="H612" s="322">
        <v>74555</v>
      </c>
      <c r="I612" s="79">
        <v>14768</v>
      </c>
      <c r="J612" s="322">
        <v>13205</v>
      </c>
      <c r="K612" s="79">
        <v>8308</v>
      </c>
      <c r="L612" s="322">
        <v>7766</v>
      </c>
      <c r="M612" s="79">
        <v>94309</v>
      </c>
      <c r="N612" s="322">
        <v>86511</v>
      </c>
      <c r="O612" s="323">
        <f t="shared" si="178"/>
        <v>198852</v>
      </c>
      <c r="P612" s="638">
        <f t="shared" si="188"/>
        <v>198852</v>
      </c>
      <c r="Q612" s="322">
        <v>26995</v>
      </c>
      <c r="R612" s="90">
        <f t="shared" si="192"/>
        <v>6628.4</v>
      </c>
      <c r="S612" s="324">
        <f t="shared" si="179"/>
        <v>182037</v>
      </c>
      <c r="T612" s="638">
        <f t="shared" si="189"/>
        <v>182037</v>
      </c>
      <c r="U612" s="322">
        <v>30751</v>
      </c>
      <c r="V612" s="80">
        <f t="shared" si="193"/>
        <v>6067.9</v>
      </c>
      <c r="W612" s="79">
        <v>18071</v>
      </c>
      <c r="X612" s="322">
        <v>13640</v>
      </c>
      <c r="Y612" s="79">
        <v>8570</v>
      </c>
      <c r="Z612" s="322">
        <v>12688</v>
      </c>
      <c r="AA612" s="79">
        <v>10805</v>
      </c>
      <c r="AB612" s="322">
        <v>15941</v>
      </c>
      <c r="AC612" s="79">
        <v>19203</v>
      </c>
      <c r="AD612" s="322">
        <v>12966</v>
      </c>
      <c r="AE612" s="323">
        <f t="shared" si="180"/>
        <v>56649</v>
      </c>
      <c r="AF612" s="638">
        <f t="shared" si="190"/>
        <v>0</v>
      </c>
      <c r="AG612" s="639" t="s">
        <v>949</v>
      </c>
      <c r="AH612" s="90">
        <f t="shared" si="181"/>
        <v>62.943333333333335</v>
      </c>
      <c r="AI612" s="80">
        <f t="shared" si="182"/>
        <v>55235</v>
      </c>
      <c r="AJ612" s="638">
        <f t="shared" si="191"/>
        <v>0</v>
      </c>
      <c r="AK612" s="639" t="s">
        <v>949</v>
      </c>
      <c r="AL612" s="80">
        <f t="shared" si="183"/>
        <v>61.37222222222222</v>
      </c>
      <c r="AM612" s="79"/>
      <c r="AN612" s="322"/>
      <c r="AO612" s="79"/>
      <c r="AP612" s="322"/>
      <c r="AQ612" s="79"/>
      <c r="AR612" s="322"/>
      <c r="AS612" s="79"/>
      <c r="AT612" s="322"/>
      <c r="AU612" s="325">
        <f t="shared" si="184"/>
        <v>0</v>
      </c>
      <c r="AV612" s="90">
        <f t="shared" si="194"/>
        <v>0</v>
      </c>
      <c r="AW612" s="324">
        <f t="shared" si="185"/>
        <v>0</v>
      </c>
      <c r="AX612" s="80">
        <f t="shared" si="195"/>
        <v>0</v>
      </c>
      <c r="AY612" s="326">
        <f t="shared" si="186"/>
        <v>6691.3433333333332</v>
      </c>
      <c r="AZ612" s="80">
        <f t="shared" si="187"/>
        <v>6129.2722222222219</v>
      </c>
    </row>
    <row r="613" spans="1:52">
      <c r="A613" s="170" t="s">
        <v>306</v>
      </c>
      <c r="B613" s="170" t="s">
        <v>366</v>
      </c>
      <c r="C613" s="229">
        <v>229355</v>
      </c>
      <c r="D613" s="165">
        <v>8</v>
      </c>
      <c r="E613" s="162" t="s">
        <v>442</v>
      </c>
      <c r="F613" s="163" t="s">
        <v>442</v>
      </c>
      <c r="G613" s="79">
        <v>88359</v>
      </c>
      <c r="H613" s="322">
        <v>89074</v>
      </c>
      <c r="I613" s="79">
        <v>13267</v>
      </c>
      <c r="J613" s="322">
        <v>19863</v>
      </c>
      <c r="K613" s="79">
        <v>7247</v>
      </c>
      <c r="L613" s="322">
        <v>7352</v>
      </c>
      <c r="M613" s="79">
        <v>89679</v>
      </c>
      <c r="N613" s="322">
        <v>103234</v>
      </c>
      <c r="O613" s="323">
        <f t="shared" si="178"/>
        <v>198552</v>
      </c>
      <c r="P613" s="638">
        <f t="shared" si="188"/>
        <v>198552</v>
      </c>
      <c r="Q613" s="322">
        <v>469</v>
      </c>
      <c r="R613" s="90">
        <f t="shared" si="192"/>
        <v>6618.4</v>
      </c>
      <c r="S613" s="324">
        <f t="shared" si="179"/>
        <v>219523</v>
      </c>
      <c r="T613" s="638">
        <f t="shared" si="189"/>
        <v>219523</v>
      </c>
      <c r="U613" s="322">
        <v>17128</v>
      </c>
      <c r="V613" s="80">
        <f t="shared" si="193"/>
        <v>7317.4333333333334</v>
      </c>
      <c r="W613" s="79">
        <v>48689</v>
      </c>
      <c r="X613" s="322">
        <v>47665</v>
      </c>
      <c r="Y613" s="79">
        <v>59066</v>
      </c>
      <c r="Z613" s="322">
        <v>79586</v>
      </c>
      <c r="AA613" s="79">
        <v>48478</v>
      </c>
      <c r="AB613" s="322">
        <v>105615</v>
      </c>
      <c r="AC613" s="79">
        <v>60433</v>
      </c>
      <c r="AD613" s="322">
        <v>79459</v>
      </c>
      <c r="AE613" s="323">
        <f t="shared" si="180"/>
        <v>216666</v>
      </c>
      <c r="AF613" s="638">
        <f t="shared" si="190"/>
        <v>0</v>
      </c>
      <c r="AG613" s="639" t="s">
        <v>949</v>
      </c>
      <c r="AH613" s="90">
        <f t="shared" si="181"/>
        <v>240.74</v>
      </c>
      <c r="AI613" s="80">
        <f t="shared" si="182"/>
        <v>312325</v>
      </c>
      <c r="AJ613" s="638">
        <f t="shared" si="191"/>
        <v>0</v>
      </c>
      <c r="AK613" s="639" t="s">
        <v>949</v>
      </c>
      <c r="AL613" s="80">
        <f t="shared" si="183"/>
        <v>347.02777777777777</v>
      </c>
      <c r="AM613" s="79"/>
      <c r="AN613" s="322"/>
      <c r="AO613" s="79"/>
      <c r="AP613" s="322"/>
      <c r="AQ613" s="79"/>
      <c r="AR613" s="322"/>
      <c r="AS613" s="79"/>
      <c r="AT613" s="322"/>
      <c r="AU613" s="325">
        <f t="shared" si="184"/>
        <v>0</v>
      </c>
      <c r="AV613" s="90">
        <f t="shared" si="194"/>
        <v>0</v>
      </c>
      <c r="AW613" s="324">
        <f t="shared" si="185"/>
        <v>0</v>
      </c>
      <c r="AX613" s="80">
        <f t="shared" si="195"/>
        <v>0</v>
      </c>
      <c r="AY613" s="326">
        <f t="shared" si="186"/>
        <v>6859.1399999999994</v>
      </c>
      <c r="AZ613" s="80">
        <f t="shared" si="187"/>
        <v>7664.4611111111108</v>
      </c>
    </row>
    <row r="614" spans="1:52">
      <c r="A614" s="170" t="s">
        <v>306</v>
      </c>
      <c r="B614" s="170" t="s">
        <v>367</v>
      </c>
      <c r="C614" s="229">
        <v>222567</v>
      </c>
      <c r="D614" s="165">
        <v>9</v>
      </c>
      <c r="E614" s="162" t="s">
        <v>442</v>
      </c>
      <c r="F614" s="163" t="s">
        <v>442</v>
      </c>
      <c r="G614" s="79">
        <v>36471</v>
      </c>
      <c r="H614" s="322">
        <v>37081</v>
      </c>
      <c r="I614" s="79">
        <v>15883</v>
      </c>
      <c r="J614" s="322">
        <v>17954</v>
      </c>
      <c r="K614" s="79"/>
      <c r="L614" s="322">
        <v>0</v>
      </c>
      <c r="M614" s="79">
        <v>37753</v>
      </c>
      <c r="N614" s="322">
        <v>37447</v>
      </c>
      <c r="O614" s="323">
        <f t="shared" si="178"/>
        <v>90107</v>
      </c>
      <c r="P614" s="638">
        <f t="shared" si="188"/>
        <v>90107</v>
      </c>
      <c r="Q614" s="322">
        <v>4355</v>
      </c>
      <c r="R614" s="90">
        <f t="shared" si="192"/>
        <v>3003.5666666666666</v>
      </c>
      <c r="S614" s="324">
        <f t="shared" si="179"/>
        <v>92482</v>
      </c>
      <c r="T614" s="638">
        <f t="shared" si="189"/>
        <v>92482</v>
      </c>
      <c r="U614" s="322">
        <v>6632</v>
      </c>
      <c r="V614" s="80">
        <f t="shared" si="193"/>
        <v>3082.7333333333331</v>
      </c>
      <c r="W614" s="79">
        <v>95666</v>
      </c>
      <c r="X614" s="322">
        <v>28354</v>
      </c>
      <c r="Y614" s="79">
        <v>61770</v>
      </c>
      <c r="Z614" s="322">
        <v>19341</v>
      </c>
      <c r="AA614" s="79">
        <v>73582</v>
      </c>
      <c r="AB614" s="322">
        <v>26632</v>
      </c>
      <c r="AC614" s="79">
        <v>100385</v>
      </c>
      <c r="AD614" s="322">
        <v>34141</v>
      </c>
      <c r="AE614" s="323">
        <f t="shared" si="180"/>
        <v>331403</v>
      </c>
      <c r="AF614" s="638">
        <f t="shared" si="190"/>
        <v>0</v>
      </c>
      <c r="AG614" s="639" t="s">
        <v>949</v>
      </c>
      <c r="AH614" s="90">
        <f t="shared" si="181"/>
        <v>368.22555555555556</v>
      </c>
      <c r="AI614" s="80">
        <f t="shared" si="182"/>
        <v>108468</v>
      </c>
      <c r="AJ614" s="638">
        <f t="shared" si="191"/>
        <v>0</v>
      </c>
      <c r="AK614" s="639" t="s">
        <v>949</v>
      </c>
      <c r="AL614" s="80">
        <f t="shared" si="183"/>
        <v>120.52</v>
      </c>
      <c r="AM614" s="79"/>
      <c r="AN614" s="322"/>
      <c r="AO614" s="79"/>
      <c r="AP614" s="322"/>
      <c r="AQ614" s="79"/>
      <c r="AR614" s="322"/>
      <c r="AS614" s="79"/>
      <c r="AT614" s="322"/>
      <c r="AU614" s="325">
        <f t="shared" si="184"/>
        <v>0</v>
      </c>
      <c r="AV614" s="90">
        <f t="shared" si="194"/>
        <v>0</v>
      </c>
      <c r="AW614" s="324">
        <f t="shared" si="185"/>
        <v>0</v>
      </c>
      <c r="AX614" s="80">
        <f t="shared" si="195"/>
        <v>0</v>
      </c>
      <c r="AY614" s="326">
        <f t="shared" si="186"/>
        <v>3371.7922222222223</v>
      </c>
      <c r="AZ614" s="80">
        <f t="shared" si="187"/>
        <v>3203.2533333333331</v>
      </c>
    </row>
    <row r="615" spans="1:52">
      <c r="A615" s="170" t="s">
        <v>306</v>
      </c>
      <c r="B615" s="170" t="s">
        <v>368</v>
      </c>
      <c r="C615" s="229">
        <v>222822</v>
      </c>
      <c r="D615" s="165">
        <v>9</v>
      </c>
      <c r="E615" s="162" t="s">
        <v>442</v>
      </c>
      <c r="F615" s="163" t="s">
        <v>442</v>
      </c>
      <c r="G615" s="79">
        <v>40310</v>
      </c>
      <c r="H615" s="322">
        <v>40647</v>
      </c>
      <c r="I615" s="79">
        <v>7714</v>
      </c>
      <c r="J615" s="322">
        <v>7915</v>
      </c>
      <c r="K615" s="79">
        <v>3923</v>
      </c>
      <c r="L615" s="322">
        <v>3270</v>
      </c>
      <c r="M615" s="79">
        <v>42599</v>
      </c>
      <c r="N615" s="322">
        <v>43705</v>
      </c>
      <c r="O615" s="323">
        <f t="shared" si="178"/>
        <v>94546</v>
      </c>
      <c r="P615" s="638">
        <f t="shared" si="188"/>
        <v>94546</v>
      </c>
      <c r="Q615" s="322">
        <v>2948</v>
      </c>
      <c r="R615" s="90">
        <f t="shared" si="192"/>
        <v>3151.5333333333333</v>
      </c>
      <c r="S615" s="324">
        <f t="shared" si="179"/>
        <v>95537</v>
      </c>
      <c r="T615" s="638">
        <f t="shared" si="189"/>
        <v>95537</v>
      </c>
      <c r="U615" s="322">
        <v>5619</v>
      </c>
      <c r="V615" s="80">
        <f t="shared" si="193"/>
        <v>3184.5666666666666</v>
      </c>
      <c r="W615" s="79">
        <v>59327</v>
      </c>
      <c r="X615" s="322">
        <v>22935</v>
      </c>
      <c r="Y615" s="79">
        <v>32589</v>
      </c>
      <c r="Z615" s="322">
        <v>67034</v>
      </c>
      <c r="AA615" s="79">
        <v>60706</v>
      </c>
      <c r="AB615" s="322">
        <v>67331</v>
      </c>
      <c r="AC615" s="79">
        <v>28913</v>
      </c>
      <c r="AD615" s="322">
        <v>24362</v>
      </c>
      <c r="AE615" s="323">
        <f t="shared" si="180"/>
        <v>181535</v>
      </c>
      <c r="AF615" s="638">
        <f t="shared" si="190"/>
        <v>0</v>
      </c>
      <c r="AG615" s="639" t="s">
        <v>949</v>
      </c>
      <c r="AH615" s="90">
        <f t="shared" si="181"/>
        <v>201.70555555555555</v>
      </c>
      <c r="AI615" s="80">
        <f t="shared" si="182"/>
        <v>181662</v>
      </c>
      <c r="AJ615" s="638">
        <f t="shared" si="191"/>
        <v>0</v>
      </c>
      <c r="AK615" s="639" t="s">
        <v>949</v>
      </c>
      <c r="AL615" s="80">
        <f t="shared" si="183"/>
        <v>201.84666666666666</v>
      </c>
      <c r="AM615" s="79"/>
      <c r="AN615" s="322"/>
      <c r="AO615" s="79"/>
      <c r="AP615" s="322"/>
      <c r="AQ615" s="79"/>
      <c r="AR615" s="322"/>
      <c r="AS615" s="79"/>
      <c r="AT615" s="322"/>
      <c r="AU615" s="325">
        <f t="shared" si="184"/>
        <v>0</v>
      </c>
      <c r="AV615" s="90">
        <f t="shared" si="194"/>
        <v>0</v>
      </c>
      <c r="AW615" s="324">
        <f t="shared" si="185"/>
        <v>0</v>
      </c>
      <c r="AX615" s="80">
        <f t="shared" si="195"/>
        <v>0</v>
      </c>
      <c r="AY615" s="326">
        <f t="shared" si="186"/>
        <v>3353.2388888888891</v>
      </c>
      <c r="AZ615" s="80">
        <f t="shared" si="187"/>
        <v>3386.4133333333334</v>
      </c>
    </row>
    <row r="616" spans="1:52">
      <c r="A616" s="170" t="s">
        <v>306</v>
      </c>
      <c r="B616" s="170" t="s">
        <v>369</v>
      </c>
      <c r="C616" s="229">
        <v>223506</v>
      </c>
      <c r="D616" s="165">
        <v>9</v>
      </c>
      <c r="E616" s="162" t="s">
        <v>442</v>
      </c>
      <c r="F616" s="163" t="s">
        <v>442</v>
      </c>
      <c r="G616" s="79">
        <v>28303</v>
      </c>
      <c r="H616" s="322">
        <v>26750</v>
      </c>
      <c r="I616" s="79">
        <v>7828</v>
      </c>
      <c r="J616" s="322">
        <v>7989</v>
      </c>
      <c r="K616" s="79">
        <v>2715</v>
      </c>
      <c r="L616" s="322">
        <v>2843</v>
      </c>
      <c r="M616" s="79">
        <v>29245</v>
      </c>
      <c r="N616" s="322">
        <v>30430</v>
      </c>
      <c r="O616" s="323">
        <f t="shared" si="178"/>
        <v>68091</v>
      </c>
      <c r="P616" s="638">
        <f t="shared" si="188"/>
        <v>68091</v>
      </c>
      <c r="Q616" s="322">
        <v>6825</v>
      </c>
      <c r="R616" s="90">
        <f t="shared" si="192"/>
        <v>2269.6999999999998</v>
      </c>
      <c r="S616" s="324">
        <f t="shared" si="179"/>
        <v>68012</v>
      </c>
      <c r="T616" s="638">
        <f t="shared" si="189"/>
        <v>68012</v>
      </c>
      <c r="U616" s="322">
        <v>8672</v>
      </c>
      <c r="V616" s="80">
        <f t="shared" si="193"/>
        <v>2267.0666666666666</v>
      </c>
      <c r="W616" s="79">
        <v>17656</v>
      </c>
      <c r="X616" s="322">
        <v>10939</v>
      </c>
      <c r="Y616" s="79">
        <v>9841</v>
      </c>
      <c r="Z616" s="322">
        <v>10808</v>
      </c>
      <c r="AA616" s="79">
        <v>3539</v>
      </c>
      <c r="AB616" s="322">
        <v>4362</v>
      </c>
      <c r="AC616" s="79">
        <v>18310</v>
      </c>
      <c r="AD616" s="322">
        <v>13431</v>
      </c>
      <c r="AE616" s="323">
        <f t="shared" si="180"/>
        <v>49346</v>
      </c>
      <c r="AF616" s="638">
        <f t="shared" si="190"/>
        <v>0</v>
      </c>
      <c r="AG616" s="639" t="s">
        <v>949</v>
      </c>
      <c r="AH616" s="90">
        <f t="shared" si="181"/>
        <v>54.828888888888891</v>
      </c>
      <c r="AI616" s="80">
        <f t="shared" si="182"/>
        <v>39540</v>
      </c>
      <c r="AJ616" s="638">
        <f t="shared" si="191"/>
        <v>0</v>
      </c>
      <c r="AK616" s="639" t="s">
        <v>949</v>
      </c>
      <c r="AL616" s="80">
        <f t="shared" si="183"/>
        <v>43.93333333333333</v>
      </c>
      <c r="AM616" s="79"/>
      <c r="AN616" s="322"/>
      <c r="AO616" s="79"/>
      <c r="AP616" s="322"/>
      <c r="AQ616" s="79"/>
      <c r="AR616" s="322"/>
      <c r="AS616" s="79"/>
      <c r="AT616" s="322"/>
      <c r="AU616" s="325">
        <f t="shared" si="184"/>
        <v>0</v>
      </c>
      <c r="AV616" s="90">
        <f t="shared" si="194"/>
        <v>0</v>
      </c>
      <c r="AW616" s="324">
        <f t="shared" si="185"/>
        <v>0</v>
      </c>
      <c r="AX616" s="80">
        <f t="shared" si="195"/>
        <v>0</v>
      </c>
      <c r="AY616" s="326">
        <f t="shared" si="186"/>
        <v>2324.5288888888886</v>
      </c>
      <c r="AZ616" s="80">
        <f t="shared" si="187"/>
        <v>2311</v>
      </c>
    </row>
    <row r="617" spans="1:52">
      <c r="A617" s="170" t="s">
        <v>306</v>
      </c>
      <c r="B617" s="215" t="s">
        <v>370</v>
      </c>
      <c r="C617" s="229">
        <v>223773</v>
      </c>
      <c r="D617" s="165">
        <v>9</v>
      </c>
      <c r="E617" s="162" t="s">
        <v>442</v>
      </c>
      <c r="F617" s="163" t="s">
        <v>442</v>
      </c>
      <c r="G617" s="79">
        <v>37049</v>
      </c>
      <c r="H617" s="322">
        <v>33239</v>
      </c>
      <c r="I617" s="79">
        <v>10817</v>
      </c>
      <c r="J617" s="322">
        <v>14756</v>
      </c>
      <c r="K617" s="79">
        <v>6286</v>
      </c>
      <c r="L617" s="322">
        <v>6886</v>
      </c>
      <c r="M617" s="79">
        <v>33724</v>
      </c>
      <c r="N617" s="322">
        <v>34765</v>
      </c>
      <c r="O617" s="323">
        <f t="shared" si="178"/>
        <v>87876</v>
      </c>
      <c r="P617" s="638">
        <f t="shared" si="188"/>
        <v>87876</v>
      </c>
      <c r="Q617" s="322">
        <v>3457</v>
      </c>
      <c r="R617" s="90">
        <f t="shared" si="192"/>
        <v>2929.2</v>
      </c>
      <c r="S617" s="324">
        <f t="shared" si="179"/>
        <v>89646</v>
      </c>
      <c r="T617" s="638">
        <f t="shared" si="189"/>
        <v>89646</v>
      </c>
      <c r="U617" s="322">
        <v>5842</v>
      </c>
      <c r="V617" s="80">
        <f t="shared" si="193"/>
        <v>2988.2</v>
      </c>
      <c r="W617" s="79">
        <v>59925</v>
      </c>
      <c r="X617" s="322">
        <v>58260</v>
      </c>
      <c r="Y617" s="79">
        <v>74472</v>
      </c>
      <c r="Z617" s="322">
        <v>92342</v>
      </c>
      <c r="AA617" s="79">
        <v>66677</v>
      </c>
      <c r="AB617" s="322">
        <v>78542</v>
      </c>
      <c r="AC617" s="79">
        <v>95481</v>
      </c>
      <c r="AD617" s="322">
        <v>74504</v>
      </c>
      <c r="AE617" s="323">
        <f t="shared" si="180"/>
        <v>296555</v>
      </c>
      <c r="AF617" s="638">
        <f t="shared" si="190"/>
        <v>0</v>
      </c>
      <c r="AG617" s="639" t="s">
        <v>949</v>
      </c>
      <c r="AH617" s="90">
        <f t="shared" si="181"/>
        <v>329.50555555555553</v>
      </c>
      <c r="AI617" s="80">
        <f t="shared" si="182"/>
        <v>303648</v>
      </c>
      <c r="AJ617" s="638">
        <f t="shared" si="191"/>
        <v>0</v>
      </c>
      <c r="AK617" s="639" t="s">
        <v>949</v>
      </c>
      <c r="AL617" s="80">
        <f t="shared" si="183"/>
        <v>337.38666666666666</v>
      </c>
      <c r="AM617" s="79"/>
      <c r="AN617" s="322"/>
      <c r="AO617" s="79"/>
      <c r="AP617" s="322"/>
      <c r="AQ617" s="79"/>
      <c r="AR617" s="322"/>
      <c r="AS617" s="79"/>
      <c r="AT617" s="322"/>
      <c r="AU617" s="325">
        <f t="shared" si="184"/>
        <v>0</v>
      </c>
      <c r="AV617" s="90">
        <f t="shared" si="194"/>
        <v>0</v>
      </c>
      <c r="AW617" s="324">
        <f t="shared" si="185"/>
        <v>0</v>
      </c>
      <c r="AX617" s="80">
        <f t="shared" si="195"/>
        <v>0</v>
      </c>
      <c r="AY617" s="326">
        <f t="shared" si="186"/>
        <v>3258.7055555555553</v>
      </c>
      <c r="AZ617" s="80">
        <f t="shared" si="187"/>
        <v>3325.5866666666666</v>
      </c>
    </row>
    <row r="618" spans="1:52">
      <c r="A618" s="170" t="s">
        <v>306</v>
      </c>
      <c r="B618" s="170" t="s">
        <v>371</v>
      </c>
      <c r="C618" s="229">
        <v>223898</v>
      </c>
      <c r="D618" s="165">
        <v>9</v>
      </c>
      <c r="E618" s="162" t="s">
        <v>442</v>
      </c>
      <c r="F618" s="163" t="s">
        <v>442</v>
      </c>
      <c r="G618" s="79">
        <v>33284</v>
      </c>
      <c r="H618" s="322">
        <v>30996</v>
      </c>
      <c r="I618" s="79">
        <v>6206</v>
      </c>
      <c r="J618" s="322">
        <v>6082</v>
      </c>
      <c r="K618" s="79">
        <v>2033</v>
      </c>
      <c r="L618" s="322">
        <v>1757</v>
      </c>
      <c r="M618" s="79">
        <v>33035</v>
      </c>
      <c r="N618" s="322">
        <v>36078</v>
      </c>
      <c r="O618" s="323">
        <f t="shared" si="178"/>
        <v>74558</v>
      </c>
      <c r="P618" s="638">
        <f t="shared" si="188"/>
        <v>74558</v>
      </c>
      <c r="Q618" s="322">
        <v>1828</v>
      </c>
      <c r="R618" s="90">
        <f t="shared" si="192"/>
        <v>2485.2666666666669</v>
      </c>
      <c r="S618" s="324">
        <f t="shared" si="179"/>
        <v>74913</v>
      </c>
      <c r="T618" s="638">
        <f t="shared" si="189"/>
        <v>74913</v>
      </c>
      <c r="U618" s="322">
        <v>1734</v>
      </c>
      <c r="V618" s="80">
        <f t="shared" si="193"/>
        <v>2497.1</v>
      </c>
      <c r="W618" s="79">
        <v>5162</v>
      </c>
      <c r="X618" s="322">
        <v>2693</v>
      </c>
      <c r="Y618" s="79">
        <v>3313</v>
      </c>
      <c r="Z618" s="322">
        <v>4640</v>
      </c>
      <c r="AA618" s="79">
        <v>1212</v>
      </c>
      <c r="AB618" s="322">
        <v>1613</v>
      </c>
      <c r="AC618" s="79">
        <v>1994</v>
      </c>
      <c r="AD618" s="322">
        <v>3106</v>
      </c>
      <c r="AE618" s="323">
        <f t="shared" si="180"/>
        <v>11681</v>
      </c>
      <c r="AF618" s="638">
        <f t="shared" si="190"/>
        <v>0</v>
      </c>
      <c r="AG618" s="639" t="s">
        <v>949</v>
      </c>
      <c r="AH618" s="90">
        <f t="shared" si="181"/>
        <v>12.978888888888889</v>
      </c>
      <c r="AI618" s="80">
        <f t="shared" si="182"/>
        <v>12052</v>
      </c>
      <c r="AJ618" s="638">
        <f t="shared" si="191"/>
        <v>0</v>
      </c>
      <c r="AK618" s="639" t="s">
        <v>949</v>
      </c>
      <c r="AL618" s="80">
        <f t="shared" si="183"/>
        <v>13.391111111111112</v>
      </c>
      <c r="AM618" s="79"/>
      <c r="AN618" s="322"/>
      <c r="AO618" s="79"/>
      <c r="AP618" s="322"/>
      <c r="AQ618" s="79"/>
      <c r="AR618" s="322"/>
      <c r="AS618" s="79"/>
      <c r="AT618" s="322"/>
      <c r="AU618" s="325">
        <f t="shared" si="184"/>
        <v>0</v>
      </c>
      <c r="AV618" s="90">
        <f t="shared" si="194"/>
        <v>0</v>
      </c>
      <c r="AW618" s="324">
        <f t="shared" si="185"/>
        <v>0</v>
      </c>
      <c r="AX618" s="80">
        <f t="shared" si="195"/>
        <v>0</v>
      </c>
      <c r="AY618" s="326">
        <f t="shared" si="186"/>
        <v>2498.2455555555557</v>
      </c>
      <c r="AZ618" s="80">
        <f t="shared" si="187"/>
        <v>2510.491111111111</v>
      </c>
    </row>
    <row r="619" spans="1:52">
      <c r="A619" s="170" t="s">
        <v>306</v>
      </c>
      <c r="B619" s="170" t="s">
        <v>372</v>
      </c>
      <c r="C619" s="229">
        <v>223320</v>
      </c>
      <c r="D619" s="168">
        <v>9</v>
      </c>
      <c r="E619" s="162" t="s">
        <v>442</v>
      </c>
      <c r="F619" s="163" t="s">
        <v>442</v>
      </c>
      <c r="G619" s="79">
        <v>24801</v>
      </c>
      <c r="H619" s="322">
        <v>25049</v>
      </c>
      <c r="I619" s="79">
        <v>7390</v>
      </c>
      <c r="J619" s="322">
        <v>9395</v>
      </c>
      <c r="K619" s="79">
        <v>1203</v>
      </c>
      <c r="L619" s="322">
        <v>2096</v>
      </c>
      <c r="M619" s="79">
        <v>26842</v>
      </c>
      <c r="N619" s="322">
        <v>30982</v>
      </c>
      <c r="O619" s="323">
        <f t="shared" si="178"/>
        <v>60236</v>
      </c>
      <c r="P619" s="638">
        <f t="shared" si="188"/>
        <v>60236</v>
      </c>
      <c r="Q619" s="322">
        <v>6766</v>
      </c>
      <c r="R619" s="90">
        <f t="shared" si="192"/>
        <v>2007.8666666666666</v>
      </c>
      <c r="S619" s="324">
        <f t="shared" si="179"/>
        <v>67522</v>
      </c>
      <c r="T619" s="638">
        <f t="shared" si="189"/>
        <v>67522</v>
      </c>
      <c r="U619" s="322">
        <v>4670</v>
      </c>
      <c r="V619" s="80">
        <f t="shared" si="193"/>
        <v>2250.7333333333331</v>
      </c>
      <c r="W619" s="79">
        <v>22858</v>
      </c>
      <c r="X619" s="322">
        <v>28175</v>
      </c>
      <c r="Y619" s="79">
        <v>35574</v>
      </c>
      <c r="Z619" s="322">
        <v>51155</v>
      </c>
      <c r="AA619" s="79">
        <v>37825</v>
      </c>
      <c r="AB619" s="322">
        <v>46501</v>
      </c>
      <c r="AC619" s="79">
        <v>20513</v>
      </c>
      <c r="AD619" s="322">
        <v>33348</v>
      </c>
      <c r="AE619" s="323">
        <f t="shared" si="180"/>
        <v>116770</v>
      </c>
      <c r="AF619" s="638">
        <f t="shared" si="190"/>
        <v>0</v>
      </c>
      <c r="AG619" s="639" t="s">
        <v>949</v>
      </c>
      <c r="AH619" s="90">
        <f t="shared" si="181"/>
        <v>129.74444444444444</v>
      </c>
      <c r="AI619" s="80">
        <f t="shared" si="182"/>
        <v>159179</v>
      </c>
      <c r="AJ619" s="638">
        <f t="shared" si="191"/>
        <v>0</v>
      </c>
      <c r="AK619" s="639" t="s">
        <v>949</v>
      </c>
      <c r="AL619" s="80">
        <f t="shared" si="183"/>
        <v>176.86555555555555</v>
      </c>
      <c r="AM619" s="79"/>
      <c r="AN619" s="322"/>
      <c r="AO619" s="79"/>
      <c r="AP619" s="322"/>
      <c r="AQ619" s="79"/>
      <c r="AR619" s="322"/>
      <c r="AS619" s="79"/>
      <c r="AT619" s="322"/>
      <c r="AU619" s="325">
        <f t="shared" si="184"/>
        <v>0</v>
      </c>
      <c r="AV619" s="90">
        <f t="shared" si="194"/>
        <v>0</v>
      </c>
      <c r="AW619" s="324">
        <f t="shared" si="185"/>
        <v>0</v>
      </c>
      <c r="AX619" s="80">
        <f t="shared" si="195"/>
        <v>0</v>
      </c>
      <c r="AY619" s="326">
        <f t="shared" si="186"/>
        <v>2137.6111111111109</v>
      </c>
      <c r="AZ619" s="80">
        <f t="shared" si="187"/>
        <v>2427.5988888888887</v>
      </c>
    </row>
    <row r="620" spans="1:52">
      <c r="A620" s="170" t="s">
        <v>306</v>
      </c>
      <c r="B620" s="170" t="s">
        <v>373</v>
      </c>
      <c r="C620" s="229">
        <v>226408</v>
      </c>
      <c r="D620" s="165">
        <v>9</v>
      </c>
      <c r="E620" s="162" t="s">
        <v>442</v>
      </c>
      <c r="F620" s="163" t="s">
        <v>442</v>
      </c>
      <c r="G620" s="79">
        <v>29986</v>
      </c>
      <c r="H620" s="322">
        <v>29657</v>
      </c>
      <c r="I620" s="79">
        <v>6135</v>
      </c>
      <c r="J620" s="322">
        <v>7414</v>
      </c>
      <c r="K620" s="79">
        <v>5687</v>
      </c>
      <c r="L620" s="322">
        <v>6148</v>
      </c>
      <c r="M620" s="79">
        <v>28778</v>
      </c>
      <c r="N620" s="322">
        <v>29284</v>
      </c>
      <c r="O620" s="323">
        <f t="shared" si="178"/>
        <v>70586</v>
      </c>
      <c r="P620" s="638">
        <f t="shared" si="188"/>
        <v>70586</v>
      </c>
      <c r="Q620" s="322">
        <v>5835</v>
      </c>
      <c r="R620" s="90">
        <f t="shared" si="192"/>
        <v>2352.8666666666668</v>
      </c>
      <c r="S620" s="324">
        <f t="shared" si="179"/>
        <v>72503</v>
      </c>
      <c r="T620" s="638">
        <f t="shared" si="189"/>
        <v>72503</v>
      </c>
      <c r="U620" s="322">
        <v>5935</v>
      </c>
      <c r="V620" s="80">
        <f t="shared" si="193"/>
        <v>2416.7666666666669</v>
      </c>
      <c r="W620" s="79">
        <v>55463</v>
      </c>
      <c r="X620" s="322">
        <v>48642</v>
      </c>
      <c r="Y620" s="79">
        <v>25434</v>
      </c>
      <c r="Z620" s="322">
        <v>24600</v>
      </c>
      <c r="AA620" s="79">
        <v>44587</v>
      </c>
      <c r="AB620" s="322">
        <v>48721</v>
      </c>
      <c r="AC620" s="79">
        <v>62305</v>
      </c>
      <c r="AD620" s="322">
        <v>32718</v>
      </c>
      <c r="AE620" s="323">
        <f t="shared" si="180"/>
        <v>187789</v>
      </c>
      <c r="AF620" s="638">
        <f t="shared" si="190"/>
        <v>0</v>
      </c>
      <c r="AG620" s="639" t="s">
        <v>949</v>
      </c>
      <c r="AH620" s="90">
        <f t="shared" si="181"/>
        <v>208.65444444444444</v>
      </c>
      <c r="AI620" s="80">
        <f t="shared" si="182"/>
        <v>154681</v>
      </c>
      <c r="AJ620" s="638">
        <f t="shared" si="191"/>
        <v>0</v>
      </c>
      <c r="AK620" s="639" t="s">
        <v>949</v>
      </c>
      <c r="AL620" s="80">
        <f t="shared" si="183"/>
        <v>171.86777777777777</v>
      </c>
      <c r="AM620" s="79"/>
      <c r="AN620" s="322"/>
      <c r="AO620" s="79"/>
      <c r="AP620" s="322"/>
      <c r="AQ620" s="79"/>
      <c r="AR620" s="322"/>
      <c r="AS620" s="79"/>
      <c r="AT620" s="322"/>
      <c r="AU620" s="325">
        <f t="shared" si="184"/>
        <v>0</v>
      </c>
      <c r="AV620" s="90">
        <f t="shared" si="194"/>
        <v>0</v>
      </c>
      <c r="AW620" s="324">
        <f t="shared" si="185"/>
        <v>0</v>
      </c>
      <c r="AX620" s="80">
        <f t="shared" si="195"/>
        <v>0</v>
      </c>
      <c r="AY620" s="326">
        <f t="shared" si="186"/>
        <v>2561.5211111111112</v>
      </c>
      <c r="AZ620" s="80">
        <f t="shared" si="187"/>
        <v>2588.6344444444449</v>
      </c>
    </row>
    <row r="621" spans="1:52">
      <c r="A621" s="170" t="s">
        <v>306</v>
      </c>
      <c r="B621" s="215" t="s">
        <v>374</v>
      </c>
      <c r="C621" s="229">
        <v>224615</v>
      </c>
      <c r="D621" s="165">
        <v>9</v>
      </c>
      <c r="E621" s="162" t="s">
        <v>442</v>
      </c>
      <c r="F621" s="163" t="s">
        <v>442</v>
      </c>
      <c r="G621" s="79">
        <v>51042</v>
      </c>
      <c r="H621" s="322">
        <v>51189</v>
      </c>
      <c r="I621" s="79">
        <v>10634</v>
      </c>
      <c r="J621" s="322">
        <v>13902</v>
      </c>
      <c r="K621" s="79">
        <v>6516</v>
      </c>
      <c r="L621" s="322">
        <v>7614</v>
      </c>
      <c r="M621" s="79">
        <v>50058</v>
      </c>
      <c r="N621" s="322">
        <v>53839</v>
      </c>
      <c r="O621" s="323">
        <f t="shared" si="178"/>
        <v>118250</v>
      </c>
      <c r="P621" s="638">
        <f t="shared" si="188"/>
        <v>118250</v>
      </c>
      <c r="Q621" s="322">
        <v>4318</v>
      </c>
      <c r="R621" s="90">
        <f t="shared" si="192"/>
        <v>3941.6666666666665</v>
      </c>
      <c r="S621" s="324">
        <f t="shared" si="179"/>
        <v>126544</v>
      </c>
      <c r="T621" s="638">
        <f t="shared" si="189"/>
        <v>126544</v>
      </c>
      <c r="U621" s="322">
        <v>6383</v>
      </c>
      <c r="V621" s="80">
        <f t="shared" si="193"/>
        <v>4218.1333333333332</v>
      </c>
      <c r="W621" s="79">
        <v>200363</v>
      </c>
      <c r="X621" s="322">
        <v>199937</v>
      </c>
      <c r="Y621" s="79">
        <v>191320</v>
      </c>
      <c r="Z621" s="322">
        <v>260001</v>
      </c>
      <c r="AA621" s="79">
        <v>209923</v>
      </c>
      <c r="AB621" s="322">
        <v>319320</v>
      </c>
      <c r="AC621" s="79">
        <v>239109</v>
      </c>
      <c r="AD621" s="322">
        <v>380788</v>
      </c>
      <c r="AE621" s="323">
        <f t="shared" si="180"/>
        <v>840715</v>
      </c>
      <c r="AF621" s="638">
        <f t="shared" si="190"/>
        <v>0</v>
      </c>
      <c r="AG621" s="639" t="s">
        <v>949</v>
      </c>
      <c r="AH621" s="90">
        <f t="shared" si="181"/>
        <v>934.12777777777774</v>
      </c>
      <c r="AI621" s="80">
        <f t="shared" si="182"/>
        <v>1160046</v>
      </c>
      <c r="AJ621" s="638">
        <f t="shared" si="191"/>
        <v>0</v>
      </c>
      <c r="AK621" s="639" t="s">
        <v>949</v>
      </c>
      <c r="AL621" s="80">
        <f t="shared" si="183"/>
        <v>1288.94</v>
      </c>
      <c r="AM621" s="79"/>
      <c r="AN621" s="322"/>
      <c r="AO621" s="79"/>
      <c r="AP621" s="322"/>
      <c r="AQ621" s="79"/>
      <c r="AR621" s="322"/>
      <c r="AS621" s="79"/>
      <c r="AT621" s="322"/>
      <c r="AU621" s="325">
        <f t="shared" si="184"/>
        <v>0</v>
      </c>
      <c r="AV621" s="90">
        <f t="shared" si="194"/>
        <v>0</v>
      </c>
      <c r="AW621" s="324">
        <f t="shared" si="185"/>
        <v>0</v>
      </c>
      <c r="AX621" s="80">
        <f t="shared" si="195"/>
        <v>0</v>
      </c>
      <c r="AY621" s="326">
        <f t="shared" si="186"/>
        <v>4875.7944444444438</v>
      </c>
      <c r="AZ621" s="80">
        <f t="shared" si="187"/>
        <v>5507.0733333333337</v>
      </c>
    </row>
    <row r="622" spans="1:52">
      <c r="A622" s="170" t="s">
        <v>306</v>
      </c>
      <c r="B622" s="170" t="s">
        <v>375</v>
      </c>
      <c r="C622" s="229">
        <v>225070</v>
      </c>
      <c r="D622" s="165">
        <v>9</v>
      </c>
      <c r="E622" s="162" t="s">
        <v>442</v>
      </c>
      <c r="F622" s="163" t="s">
        <v>442</v>
      </c>
      <c r="G622" s="79">
        <v>36329</v>
      </c>
      <c r="H622" s="322">
        <v>36025</v>
      </c>
      <c r="I622" s="79">
        <v>6629</v>
      </c>
      <c r="J622" s="322">
        <v>7273</v>
      </c>
      <c r="K622" s="79">
        <v>2083</v>
      </c>
      <c r="L622" s="322">
        <v>2260</v>
      </c>
      <c r="M622" s="79">
        <v>36899</v>
      </c>
      <c r="N622" s="322">
        <v>40157</v>
      </c>
      <c r="O622" s="323">
        <f t="shared" si="178"/>
        <v>81940</v>
      </c>
      <c r="P622" s="638">
        <f t="shared" si="188"/>
        <v>81940</v>
      </c>
      <c r="Q622" s="322">
        <v>0</v>
      </c>
      <c r="R622" s="90">
        <f t="shared" si="192"/>
        <v>2731.3333333333335</v>
      </c>
      <c r="S622" s="324">
        <f t="shared" si="179"/>
        <v>85715</v>
      </c>
      <c r="T622" s="638">
        <f t="shared" si="189"/>
        <v>85715</v>
      </c>
      <c r="U622" s="322">
        <v>3815</v>
      </c>
      <c r="V622" s="80">
        <f t="shared" si="193"/>
        <v>2857.1666666666665</v>
      </c>
      <c r="W622" s="79">
        <v>30650</v>
      </c>
      <c r="X622" s="322">
        <v>26451</v>
      </c>
      <c r="Y622" s="79">
        <v>34088</v>
      </c>
      <c r="Z622" s="322">
        <v>35125</v>
      </c>
      <c r="AA622" s="79">
        <v>37745</v>
      </c>
      <c r="AB622" s="322">
        <v>33997</v>
      </c>
      <c r="AC622" s="79">
        <v>40245</v>
      </c>
      <c r="AD622" s="322">
        <v>28571</v>
      </c>
      <c r="AE622" s="323">
        <f t="shared" si="180"/>
        <v>142728</v>
      </c>
      <c r="AF622" s="638">
        <f t="shared" si="190"/>
        <v>0</v>
      </c>
      <c r="AG622" s="639" t="s">
        <v>949</v>
      </c>
      <c r="AH622" s="90">
        <f t="shared" si="181"/>
        <v>158.58666666666667</v>
      </c>
      <c r="AI622" s="80">
        <f t="shared" si="182"/>
        <v>124144</v>
      </c>
      <c r="AJ622" s="638">
        <f t="shared" si="191"/>
        <v>0</v>
      </c>
      <c r="AK622" s="639" t="s">
        <v>949</v>
      </c>
      <c r="AL622" s="80">
        <f t="shared" si="183"/>
        <v>137.93777777777777</v>
      </c>
      <c r="AM622" s="79"/>
      <c r="AN622" s="322"/>
      <c r="AO622" s="79"/>
      <c r="AP622" s="322"/>
      <c r="AQ622" s="79"/>
      <c r="AR622" s="322"/>
      <c r="AS622" s="79"/>
      <c r="AT622" s="322"/>
      <c r="AU622" s="325">
        <f t="shared" si="184"/>
        <v>0</v>
      </c>
      <c r="AV622" s="90">
        <f t="shared" si="194"/>
        <v>0</v>
      </c>
      <c r="AW622" s="324">
        <f t="shared" si="185"/>
        <v>0</v>
      </c>
      <c r="AX622" s="80">
        <f t="shared" si="195"/>
        <v>0</v>
      </c>
      <c r="AY622" s="326">
        <f t="shared" si="186"/>
        <v>2889.92</v>
      </c>
      <c r="AZ622" s="80">
        <f t="shared" si="187"/>
        <v>2995.1044444444442</v>
      </c>
    </row>
    <row r="623" spans="1:52">
      <c r="A623" s="170" t="s">
        <v>306</v>
      </c>
      <c r="B623" s="170" t="s">
        <v>376</v>
      </c>
      <c r="C623" s="229">
        <v>225371</v>
      </c>
      <c r="D623" s="165">
        <v>9</v>
      </c>
      <c r="E623" s="162" t="s">
        <v>442</v>
      </c>
      <c r="F623" s="163" t="s">
        <v>442</v>
      </c>
      <c r="G623" s="79">
        <v>31219</v>
      </c>
      <c r="H623" s="322">
        <v>29931</v>
      </c>
      <c r="I623" s="79">
        <v>5567</v>
      </c>
      <c r="J623" s="322">
        <v>7466</v>
      </c>
      <c r="K623" s="79">
        <v>1667</v>
      </c>
      <c r="L623" s="322">
        <v>1918</v>
      </c>
      <c r="M623" s="79">
        <v>31133</v>
      </c>
      <c r="N623" s="322">
        <v>33830</v>
      </c>
      <c r="O623" s="323">
        <f t="shared" si="178"/>
        <v>69586</v>
      </c>
      <c r="P623" s="638">
        <f t="shared" si="188"/>
        <v>69586</v>
      </c>
      <c r="Q623" s="322">
        <v>10409</v>
      </c>
      <c r="R623" s="90">
        <f t="shared" si="192"/>
        <v>2319.5333333333333</v>
      </c>
      <c r="S623" s="324">
        <f t="shared" si="179"/>
        <v>73145</v>
      </c>
      <c r="T623" s="638">
        <f t="shared" si="189"/>
        <v>73145</v>
      </c>
      <c r="U623" s="322">
        <v>8189</v>
      </c>
      <c r="V623" s="80">
        <f t="shared" si="193"/>
        <v>2438.1666666666665</v>
      </c>
      <c r="W623" s="79">
        <v>92047</v>
      </c>
      <c r="X623" s="322">
        <v>19828</v>
      </c>
      <c r="Y623" s="79">
        <v>35113</v>
      </c>
      <c r="Z623" s="322">
        <v>17580</v>
      </c>
      <c r="AA623" s="79">
        <v>23223</v>
      </c>
      <c r="AB623" s="322">
        <v>26486</v>
      </c>
      <c r="AC623" s="79">
        <v>16995</v>
      </c>
      <c r="AD623" s="322">
        <v>17196</v>
      </c>
      <c r="AE623" s="323">
        <f t="shared" si="180"/>
        <v>167378</v>
      </c>
      <c r="AF623" s="638">
        <f t="shared" si="190"/>
        <v>0</v>
      </c>
      <c r="AG623" s="639" t="s">
        <v>949</v>
      </c>
      <c r="AH623" s="90">
        <f t="shared" si="181"/>
        <v>185.97555555555556</v>
      </c>
      <c r="AI623" s="80">
        <f t="shared" si="182"/>
        <v>81090</v>
      </c>
      <c r="AJ623" s="638">
        <f t="shared" si="191"/>
        <v>0</v>
      </c>
      <c r="AK623" s="639" t="s">
        <v>949</v>
      </c>
      <c r="AL623" s="80">
        <f t="shared" si="183"/>
        <v>90.1</v>
      </c>
      <c r="AM623" s="79"/>
      <c r="AN623" s="322"/>
      <c r="AO623" s="79"/>
      <c r="AP623" s="322"/>
      <c r="AQ623" s="79"/>
      <c r="AR623" s="322"/>
      <c r="AS623" s="79"/>
      <c r="AT623" s="322"/>
      <c r="AU623" s="325">
        <f t="shared" si="184"/>
        <v>0</v>
      </c>
      <c r="AV623" s="90">
        <f t="shared" si="194"/>
        <v>0</v>
      </c>
      <c r="AW623" s="324">
        <f t="shared" si="185"/>
        <v>0</v>
      </c>
      <c r="AX623" s="80">
        <f t="shared" si="195"/>
        <v>0</v>
      </c>
      <c r="AY623" s="326">
        <f t="shared" si="186"/>
        <v>2505.508888888889</v>
      </c>
      <c r="AZ623" s="80">
        <f t="shared" si="187"/>
        <v>2528.2666666666664</v>
      </c>
    </row>
    <row r="624" spans="1:52">
      <c r="A624" s="170" t="s">
        <v>306</v>
      </c>
      <c r="B624" s="217" t="s">
        <v>377</v>
      </c>
      <c r="C624" s="229">
        <v>225520</v>
      </c>
      <c r="D624" s="165">
        <v>9</v>
      </c>
      <c r="E624" s="162" t="s">
        <v>442</v>
      </c>
      <c r="F624" s="163" t="s">
        <v>442</v>
      </c>
      <c r="G624" s="79">
        <v>24569</v>
      </c>
      <c r="H624" s="322">
        <v>26299</v>
      </c>
      <c r="I624" s="79">
        <v>1076</v>
      </c>
      <c r="J624" s="322">
        <v>4842</v>
      </c>
      <c r="K624" s="79">
        <v>5185</v>
      </c>
      <c r="L624" s="322">
        <v>2238</v>
      </c>
      <c r="M624" s="79">
        <v>27711</v>
      </c>
      <c r="N624" s="322">
        <v>28526</v>
      </c>
      <c r="O624" s="323">
        <f t="shared" si="178"/>
        <v>58541</v>
      </c>
      <c r="P624" s="638">
        <f t="shared" si="188"/>
        <v>58541</v>
      </c>
      <c r="Q624" s="322">
        <v>2326</v>
      </c>
      <c r="R624" s="90">
        <f t="shared" si="192"/>
        <v>1951.3666666666666</v>
      </c>
      <c r="S624" s="324">
        <f t="shared" si="179"/>
        <v>61905</v>
      </c>
      <c r="T624" s="638">
        <f t="shared" si="189"/>
        <v>61905</v>
      </c>
      <c r="U624" s="322">
        <v>11052</v>
      </c>
      <c r="V624" s="80">
        <f t="shared" si="193"/>
        <v>2063.5</v>
      </c>
      <c r="W624" s="79">
        <v>221114</v>
      </c>
      <c r="X624" s="322">
        <v>215791</v>
      </c>
      <c r="Y624" s="79">
        <v>240571</v>
      </c>
      <c r="Z624" s="322">
        <v>255640</v>
      </c>
      <c r="AA624" s="79">
        <v>267985</v>
      </c>
      <c r="AB624" s="322">
        <v>244486</v>
      </c>
      <c r="AC624" s="79">
        <v>230966</v>
      </c>
      <c r="AD624" s="322">
        <v>249635</v>
      </c>
      <c r="AE624" s="323">
        <f t="shared" si="180"/>
        <v>960636</v>
      </c>
      <c r="AF624" s="638">
        <f t="shared" si="190"/>
        <v>0</v>
      </c>
      <c r="AG624" s="639" t="s">
        <v>949</v>
      </c>
      <c r="AH624" s="90">
        <f t="shared" si="181"/>
        <v>1067.3733333333332</v>
      </c>
      <c r="AI624" s="80">
        <f t="shared" si="182"/>
        <v>965552</v>
      </c>
      <c r="AJ624" s="638">
        <f t="shared" si="191"/>
        <v>0</v>
      </c>
      <c r="AK624" s="639" t="s">
        <v>949</v>
      </c>
      <c r="AL624" s="80">
        <f t="shared" si="183"/>
        <v>1072.8355555555556</v>
      </c>
      <c r="AM624" s="79"/>
      <c r="AN624" s="322"/>
      <c r="AO624" s="79"/>
      <c r="AP624" s="322"/>
      <c r="AQ624" s="79"/>
      <c r="AR624" s="322"/>
      <c r="AS624" s="79"/>
      <c r="AT624" s="322"/>
      <c r="AU624" s="325">
        <f t="shared" si="184"/>
        <v>0</v>
      </c>
      <c r="AV624" s="90">
        <f t="shared" si="194"/>
        <v>0</v>
      </c>
      <c r="AW624" s="324">
        <f t="shared" si="185"/>
        <v>0</v>
      </c>
      <c r="AX624" s="80">
        <f t="shared" si="195"/>
        <v>0</v>
      </c>
      <c r="AY624" s="326">
        <f t="shared" si="186"/>
        <v>3018.74</v>
      </c>
      <c r="AZ624" s="80">
        <f t="shared" si="187"/>
        <v>3136.3355555555554</v>
      </c>
    </row>
    <row r="625" spans="1:52">
      <c r="A625" s="170" t="s">
        <v>306</v>
      </c>
      <c r="B625" s="170" t="s">
        <v>378</v>
      </c>
      <c r="C625" s="229">
        <v>226019</v>
      </c>
      <c r="D625" s="165">
        <v>9</v>
      </c>
      <c r="E625" s="162" t="s">
        <v>442</v>
      </c>
      <c r="F625" s="163" t="s">
        <v>442</v>
      </c>
      <c r="G625" s="79">
        <v>45351</v>
      </c>
      <c r="H625" s="322">
        <v>49164</v>
      </c>
      <c r="I625" s="79">
        <v>8574</v>
      </c>
      <c r="J625" s="322">
        <v>9351</v>
      </c>
      <c r="K625" s="79">
        <v>5828</v>
      </c>
      <c r="L625" s="322">
        <v>6273</v>
      </c>
      <c r="M625" s="79">
        <v>50875</v>
      </c>
      <c r="N625" s="322">
        <v>53146</v>
      </c>
      <c r="O625" s="323">
        <f t="shared" si="178"/>
        <v>110628</v>
      </c>
      <c r="P625" s="638">
        <f t="shared" si="188"/>
        <v>110628</v>
      </c>
      <c r="Q625" s="322">
        <v>3684</v>
      </c>
      <c r="R625" s="90">
        <f t="shared" si="192"/>
        <v>3687.6</v>
      </c>
      <c r="S625" s="324">
        <f t="shared" si="179"/>
        <v>117934</v>
      </c>
      <c r="T625" s="638">
        <f t="shared" si="189"/>
        <v>117934</v>
      </c>
      <c r="U625" s="322">
        <v>5919</v>
      </c>
      <c r="V625" s="80">
        <f t="shared" si="193"/>
        <v>3931.1333333333332</v>
      </c>
      <c r="W625" s="79">
        <v>156928</v>
      </c>
      <c r="X625" s="322">
        <v>174106</v>
      </c>
      <c r="Y625" s="79">
        <v>104327</v>
      </c>
      <c r="Z625" s="322">
        <v>293166</v>
      </c>
      <c r="AA625" s="79">
        <v>111790</v>
      </c>
      <c r="AB625" s="322">
        <v>195562</v>
      </c>
      <c r="AC625" s="79">
        <v>231572</v>
      </c>
      <c r="AD625" s="322">
        <v>150561</v>
      </c>
      <c r="AE625" s="323">
        <f t="shared" si="180"/>
        <v>604617</v>
      </c>
      <c r="AF625" s="638">
        <f t="shared" si="190"/>
        <v>0</v>
      </c>
      <c r="AG625" s="639" t="s">
        <v>949</v>
      </c>
      <c r="AH625" s="90">
        <f t="shared" si="181"/>
        <v>671.79666666666662</v>
      </c>
      <c r="AI625" s="80">
        <f t="shared" si="182"/>
        <v>813395</v>
      </c>
      <c r="AJ625" s="638">
        <f t="shared" si="191"/>
        <v>0</v>
      </c>
      <c r="AK625" s="639" t="s">
        <v>949</v>
      </c>
      <c r="AL625" s="80">
        <f t="shared" si="183"/>
        <v>903.77222222222224</v>
      </c>
      <c r="AM625" s="79"/>
      <c r="AN625" s="322"/>
      <c r="AO625" s="79"/>
      <c r="AP625" s="322"/>
      <c r="AQ625" s="79"/>
      <c r="AR625" s="322"/>
      <c r="AS625" s="79"/>
      <c r="AT625" s="322"/>
      <c r="AU625" s="325">
        <f t="shared" si="184"/>
        <v>0</v>
      </c>
      <c r="AV625" s="90">
        <f t="shared" si="194"/>
        <v>0</v>
      </c>
      <c r="AW625" s="324">
        <f t="shared" si="185"/>
        <v>0</v>
      </c>
      <c r="AX625" s="80">
        <f t="shared" si="195"/>
        <v>0</v>
      </c>
      <c r="AY625" s="326">
        <f t="shared" si="186"/>
        <v>4359.3966666666665</v>
      </c>
      <c r="AZ625" s="80">
        <f t="shared" si="187"/>
        <v>4834.9055555555551</v>
      </c>
    </row>
    <row r="626" spans="1:52">
      <c r="A626" s="170" t="s">
        <v>306</v>
      </c>
      <c r="B626" s="170" t="s">
        <v>379</v>
      </c>
      <c r="C626" s="229">
        <v>441760</v>
      </c>
      <c r="D626" s="165">
        <v>9</v>
      </c>
      <c r="E626" s="162" t="s">
        <v>442</v>
      </c>
      <c r="F626" s="163" t="s">
        <v>442</v>
      </c>
      <c r="G626" s="79">
        <v>23587</v>
      </c>
      <c r="H626" s="322">
        <v>25456</v>
      </c>
      <c r="I626" s="79">
        <v>1887</v>
      </c>
      <c r="J626" s="322">
        <v>2135</v>
      </c>
      <c r="K626" s="79">
        <v>1533</v>
      </c>
      <c r="L626" s="322">
        <v>1569</v>
      </c>
      <c r="M626" s="79">
        <v>27917</v>
      </c>
      <c r="N626" s="322">
        <v>31316</v>
      </c>
      <c r="O626" s="323">
        <f t="shared" si="178"/>
        <v>54924</v>
      </c>
      <c r="P626" s="638">
        <f t="shared" si="188"/>
        <v>54924</v>
      </c>
      <c r="Q626" s="322">
        <v>0</v>
      </c>
      <c r="R626" s="90">
        <f t="shared" si="192"/>
        <v>1830.8</v>
      </c>
      <c r="S626" s="324">
        <f t="shared" si="179"/>
        <v>60476</v>
      </c>
      <c r="T626" s="638">
        <f t="shared" si="189"/>
        <v>60476</v>
      </c>
      <c r="U626" s="322">
        <v>666</v>
      </c>
      <c r="V626" s="80">
        <f t="shared" si="193"/>
        <v>2015.8666666666666</v>
      </c>
      <c r="W626" s="79">
        <v>65698</v>
      </c>
      <c r="X626" s="322">
        <v>44138</v>
      </c>
      <c r="Y626" s="79">
        <v>60494</v>
      </c>
      <c r="Z626" s="322">
        <v>76260</v>
      </c>
      <c r="AA626" s="79">
        <v>35938</v>
      </c>
      <c r="AB626" s="322">
        <v>61507</v>
      </c>
      <c r="AC626" s="79">
        <v>57915</v>
      </c>
      <c r="AD626" s="322">
        <v>46522</v>
      </c>
      <c r="AE626" s="323">
        <f t="shared" si="180"/>
        <v>220045</v>
      </c>
      <c r="AF626" s="638">
        <f t="shared" si="190"/>
        <v>0</v>
      </c>
      <c r="AG626" s="639" t="s">
        <v>949</v>
      </c>
      <c r="AH626" s="90">
        <f t="shared" si="181"/>
        <v>244.49444444444444</v>
      </c>
      <c r="AI626" s="80">
        <f t="shared" si="182"/>
        <v>228427</v>
      </c>
      <c r="AJ626" s="638">
        <f t="shared" si="191"/>
        <v>0</v>
      </c>
      <c r="AK626" s="639" t="s">
        <v>949</v>
      </c>
      <c r="AL626" s="80">
        <f t="shared" si="183"/>
        <v>253.80777777777777</v>
      </c>
      <c r="AM626" s="79"/>
      <c r="AN626" s="322"/>
      <c r="AO626" s="79"/>
      <c r="AP626" s="322"/>
      <c r="AQ626" s="79"/>
      <c r="AR626" s="322"/>
      <c r="AS626" s="79"/>
      <c r="AT626" s="322"/>
      <c r="AU626" s="325">
        <f t="shared" si="184"/>
        <v>0</v>
      </c>
      <c r="AV626" s="90">
        <f t="shared" si="194"/>
        <v>0</v>
      </c>
      <c r="AW626" s="324">
        <f t="shared" si="185"/>
        <v>0</v>
      </c>
      <c r="AX626" s="80">
        <f t="shared" si="195"/>
        <v>0</v>
      </c>
      <c r="AY626" s="326">
        <f t="shared" si="186"/>
        <v>2075.2944444444443</v>
      </c>
      <c r="AZ626" s="80">
        <f t="shared" si="187"/>
        <v>2269.6744444444444</v>
      </c>
    </row>
    <row r="627" spans="1:52">
      <c r="A627" s="170" t="s">
        <v>306</v>
      </c>
      <c r="B627" s="170" t="s">
        <v>381</v>
      </c>
      <c r="C627" s="229">
        <v>226204</v>
      </c>
      <c r="D627" s="165">
        <v>9</v>
      </c>
      <c r="E627" s="162" t="s">
        <v>442</v>
      </c>
      <c r="F627" s="163" t="s">
        <v>442</v>
      </c>
      <c r="G627" s="79">
        <v>50849</v>
      </c>
      <c r="H627" s="322">
        <v>51279</v>
      </c>
      <c r="I627" s="79">
        <v>19939</v>
      </c>
      <c r="J627" s="322">
        <v>21552</v>
      </c>
      <c r="K627" s="79">
        <v>2859</v>
      </c>
      <c r="L627" s="322">
        <v>3504</v>
      </c>
      <c r="M627" s="79">
        <v>49383</v>
      </c>
      <c r="N627" s="322">
        <v>48670</v>
      </c>
      <c r="O627" s="323">
        <f t="shared" si="178"/>
        <v>123030</v>
      </c>
      <c r="P627" s="638">
        <f t="shared" si="188"/>
        <v>123030</v>
      </c>
      <c r="Q627" s="322">
        <v>2886</v>
      </c>
      <c r="R627" s="90">
        <f t="shared" si="192"/>
        <v>4101</v>
      </c>
      <c r="S627" s="324">
        <f t="shared" si="179"/>
        <v>125005</v>
      </c>
      <c r="T627" s="638">
        <f t="shared" si="189"/>
        <v>125005</v>
      </c>
      <c r="U627" s="322">
        <v>4770</v>
      </c>
      <c r="V627" s="80">
        <f t="shared" si="193"/>
        <v>4166.833333333333</v>
      </c>
      <c r="W627" s="79">
        <v>37762</v>
      </c>
      <c r="X627" s="322">
        <v>51196</v>
      </c>
      <c r="Y627" s="79">
        <v>43101</v>
      </c>
      <c r="Z627" s="322">
        <v>38788</v>
      </c>
      <c r="AA627" s="79">
        <v>44877</v>
      </c>
      <c r="AB627" s="322">
        <v>45347</v>
      </c>
      <c r="AC627" s="79">
        <v>27897</v>
      </c>
      <c r="AD627" s="322">
        <v>34741</v>
      </c>
      <c r="AE627" s="323">
        <f t="shared" si="180"/>
        <v>153637</v>
      </c>
      <c r="AF627" s="638">
        <f t="shared" si="190"/>
        <v>0</v>
      </c>
      <c r="AG627" s="639" t="s">
        <v>949</v>
      </c>
      <c r="AH627" s="90">
        <f t="shared" si="181"/>
        <v>170.70777777777778</v>
      </c>
      <c r="AI627" s="80">
        <f t="shared" si="182"/>
        <v>170072</v>
      </c>
      <c r="AJ627" s="638">
        <f t="shared" si="191"/>
        <v>0</v>
      </c>
      <c r="AK627" s="639" t="s">
        <v>949</v>
      </c>
      <c r="AL627" s="80">
        <f t="shared" si="183"/>
        <v>188.9688888888889</v>
      </c>
      <c r="AM627" s="79"/>
      <c r="AN627" s="322"/>
      <c r="AO627" s="79"/>
      <c r="AP627" s="322"/>
      <c r="AQ627" s="79"/>
      <c r="AR627" s="322"/>
      <c r="AS627" s="79"/>
      <c r="AT627" s="322"/>
      <c r="AU627" s="325">
        <f t="shared" si="184"/>
        <v>0</v>
      </c>
      <c r="AV627" s="90">
        <f t="shared" si="194"/>
        <v>0</v>
      </c>
      <c r="AW627" s="324">
        <f t="shared" si="185"/>
        <v>0</v>
      </c>
      <c r="AX627" s="80">
        <f t="shared" si="195"/>
        <v>0</v>
      </c>
      <c r="AY627" s="326">
        <f t="shared" si="186"/>
        <v>4271.7077777777777</v>
      </c>
      <c r="AZ627" s="80">
        <f t="shared" si="187"/>
        <v>4355.8022222222216</v>
      </c>
    </row>
    <row r="628" spans="1:52">
      <c r="A628" s="170" t="s">
        <v>306</v>
      </c>
      <c r="B628" s="170" t="s">
        <v>382</v>
      </c>
      <c r="C628" s="229">
        <v>226806</v>
      </c>
      <c r="D628" s="165">
        <v>9</v>
      </c>
      <c r="E628" s="162" t="s">
        <v>442</v>
      </c>
      <c r="F628" s="163" t="s">
        <v>442</v>
      </c>
      <c r="G628" s="79">
        <v>47032</v>
      </c>
      <c r="H628" s="322">
        <v>46531</v>
      </c>
      <c r="I628" s="79">
        <v>8986</v>
      </c>
      <c r="J628" s="322">
        <v>9539</v>
      </c>
      <c r="K628" s="79">
        <v>8283</v>
      </c>
      <c r="L628" s="322">
        <v>9178</v>
      </c>
      <c r="M628" s="79">
        <v>46261</v>
      </c>
      <c r="N628" s="322">
        <v>46675</v>
      </c>
      <c r="O628" s="323">
        <f t="shared" si="178"/>
        <v>110562</v>
      </c>
      <c r="P628" s="638">
        <f t="shared" si="188"/>
        <v>110562</v>
      </c>
      <c r="Q628" s="322">
        <v>10305</v>
      </c>
      <c r="R628" s="90">
        <f t="shared" si="192"/>
        <v>3685.4</v>
      </c>
      <c r="S628" s="324">
        <f t="shared" si="179"/>
        <v>111923</v>
      </c>
      <c r="T628" s="638">
        <f t="shared" si="189"/>
        <v>111923</v>
      </c>
      <c r="U628" s="322">
        <v>9865</v>
      </c>
      <c r="V628" s="80">
        <f t="shared" si="193"/>
        <v>3730.7666666666669</v>
      </c>
      <c r="W628" s="79">
        <v>49736</v>
      </c>
      <c r="X628" s="322">
        <v>50419</v>
      </c>
      <c r="Y628" s="79">
        <v>45679</v>
      </c>
      <c r="Z628" s="322">
        <v>48818</v>
      </c>
      <c r="AA628" s="79">
        <v>38062</v>
      </c>
      <c r="AB628" s="322">
        <v>30392</v>
      </c>
      <c r="AC628" s="79">
        <v>64755</v>
      </c>
      <c r="AD628" s="322">
        <v>51646</v>
      </c>
      <c r="AE628" s="323">
        <f t="shared" si="180"/>
        <v>198232</v>
      </c>
      <c r="AF628" s="638">
        <f t="shared" si="190"/>
        <v>0</v>
      </c>
      <c r="AG628" s="639" t="s">
        <v>949</v>
      </c>
      <c r="AH628" s="90">
        <f t="shared" si="181"/>
        <v>220.25777777777779</v>
      </c>
      <c r="AI628" s="80">
        <f t="shared" si="182"/>
        <v>181275</v>
      </c>
      <c r="AJ628" s="638">
        <f t="shared" si="191"/>
        <v>0</v>
      </c>
      <c r="AK628" s="639" t="s">
        <v>949</v>
      </c>
      <c r="AL628" s="80">
        <f t="shared" si="183"/>
        <v>201.41666666666666</v>
      </c>
      <c r="AM628" s="79"/>
      <c r="AN628" s="322"/>
      <c r="AO628" s="79"/>
      <c r="AP628" s="322"/>
      <c r="AQ628" s="79"/>
      <c r="AR628" s="322"/>
      <c r="AS628" s="79"/>
      <c r="AT628" s="322"/>
      <c r="AU628" s="325">
        <f t="shared" si="184"/>
        <v>0</v>
      </c>
      <c r="AV628" s="90">
        <f t="shared" si="194"/>
        <v>0</v>
      </c>
      <c r="AW628" s="324">
        <f t="shared" si="185"/>
        <v>0</v>
      </c>
      <c r="AX628" s="80">
        <f t="shared" si="195"/>
        <v>0</v>
      </c>
      <c r="AY628" s="326">
        <f t="shared" si="186"/>
        <v>3905.6577777777779</v>
      </c>
      <c r="AZ628" s="80">
        <f t="shared" si="187"/>
        <v>3932.1833333333334</v>
      </c>
    </row>
    <row r="629" spans="1:52">
      <c r="A629" s="170" t="s">
        <v>306</v>
      </c>
      <c r="B629" s="215" t="s">
        <v>383</v>
      </c>
      <c r="C629" s="229">
        <v>226930</v>
      </c>
      <c r="D629" s="165">
        <v>9</v>
      </c>
      <c r="E629" s="162" t="s">
        <v>442</v>
      </c>
      <c r="F629" s="163" t="s">
        <v>442</v>
      </c>
      <c r="G629" s="79">
        <v>48314</v>
      </c>
      <c r="H629" s="322">
        <v>47160</v>
      </c>
      <c r="I629" s="79">
        <v>13777</v>
      </c>
      <c r="J629" s="322">
        <v>16028</v>
      </c>
      <c r="K629" s="79">
        <v>7674</v>
      </c>
      <c r="L629" s="322">
        <v>7157</v>
      </c>
      <c r="M629" s="79">
        <v>46923</v>
      </c>
      <c r="N629" s="322">
        <v>46834</v>
      </c>
      <c r="O629" s="323">
        <f t="shared" si="178"/>
        <v>116688</v>
      </c>
      <c r="P629" s="638">
        <f t="shared" si="188"/>
        <v>116688</v>
      </c>
      <c r="Q629" s="322">
        <v>6604</v>
      </c>
      <c r="R629" s="90">
        <f t="shared" si="192"/>
        <v>3889.6</v>
      </c>
      <c r="S629" s="324">
        <f t="shared" si="179"/>
        <v>117179</v>
      </c>
      <c r="T629" s="638">
        <f t="shared" si="189"/>
        <v>117179</v>
      </c>
      <c r="U629" s="322">
        <v>6036</v>
      </c>
      <c r="V629" s="80">
        <f t="shared" si="193"/>
        <v>3905.9666666666667</v>
      </c>
      <c r="W629" s="79">
        <v>31233</v>
      </c>
      <c r="X629" s="322">
        <v>37533</v>
      </c>
      <c r="Y629" s="79">
        <v>35963</v>
      </c>
      <c r="Z629" s="322">
        <v>39404</v>
      </c>
      <c r="AA629" s="79">
        <v>45904</v>
      </c>
      <c r="AB629" s="322">
        <v>29764</v>
      </c>
      <c r="AC629" s="79">
        <v>36853</v>
      </c>
      <c r="AD629" s="322">
        <v>50054</v>
      </c>
      <c r="AE629" s="323">
        <f t="shared" si="180"/>
        <v>149953</v>
      </c>
      <c r="AF629" s="638">
        <f t="shared" si="190"/>
        <v>0</v>
      </c>
      <c r="AG629" s="639" t="s">
        <v>949</v>
      </c>
      <c r="AH629" s="90">
        <f t="shared" si="181"/>
        <v>166.61444444444444</v>
      </c>
      <c r="AI629" s="80">
        <f t="shared" si="182"/>
        <v>156755</v>
      </c>
      <c r="AJ629" s="638">
        <f t="shared" si="191"/>
        <v>0</v>
      </c>
      <c r="AK629" s="639" t="s">
        <v>949</v>
      </c>
      <c r="AL629" s="80">
        <f t="shared" si="183"/>
        <v>174.17222222222222</v>
      </c>
      <c r="AM629" s="79"/>
      <c r="AN629" s="322"/>
      <c r="AO629" s="79"/>
      <c r="AP629" s="322"/>
      <c r="AQ629" s="79"/>
      <c r="AR629" s="322"/>
      <c r="AS629" s="79"/>
      <c r="AT629" s="322"/>
      <c r="AU629" s="325">
        <f t="shared" si="184"/>
        <v>0</v>
      </c>
      <c r="AV629" s="90">
        <f t="shared" si="194"/>
        <v>0</v>
      </c>
      <c r="AW629" s="324">
        <f t="shared" si="185"/>
        <v>0</v>
      </c>
      <c r="AX629" s="80">
        <f t="shared" si="195"/>
        <v>0</v>
      </c>
      <c r="AY629" s="326">
        <f t="shared" si="186"/>
        <v>4056.2144444444443</v>
      </c>
      <c r="AZ629" s="80">
        <f t="shared" si="187"/>
        <v>4080.1388888888887</v>
      </c>
    </row>
    <row r="630" spans="1:52">
      <c r="A630" s="170" t="s">
        <v>306</v>
      </c>
      <c r="B630" s="170" t="s">
        <v>385</v>
      </c>
      <c r="C630" s="229">
        <v>224110</v>
      </c>
      <c r="D630" s="165">
        <v>9</v>
      </c>
      <c r="E630" s="162" t="s">
        <v>442</v>
      </c>
      <c r="F630" s="163" t="s">
        <v>442</v>
      </c>
      <c r="G630" s="79">
        <v>60637</v>
      </c>
      <c r="H630" s="322">
        <v>61383</v>
      </c>
      <c r="I630" s="79">
        <v>16345</v>
      </c>
      <c r="J630" s="322">
        <v>19389</v>
      </c>
      <c r="K630" s="79"/>
      <c r="L630" s="322">
        <v>0</v>
      </c>
      <c r="M630" s="79">
        <v>64242</v>
      </c>
      <c r="N630" s="322">
        <v>69853</v>
      </c>
      <c r="O630" s="323">
        <f t="shared" si="178"/>
        <v>141224</v>
      </c>
      <c r="P630" s="638">
        <f t="shared" si="188"/>
        <v>141224</v>
      </c>
      <c r="Q630" s="322">
        <v>4019</v>
      </c>
      <c r="R630" s="90">
        <f t="shared" si="192"/>
        <v>4707.4666666666662</v>
      </c>
      <c r="S630" s="324">
        <f t="shared" si="179"/>
        <v>150625</v>
      </c>
      <c r="T630" s="638">
        <f t="shared" si="189"/>
        <v>150625</v>
      </c>
      <c r="U630" s="322">
        <v>7989</v>
      </c>
      <c r="V630" s="80">
        <f t="shared" si="193"/>
        <v>5020.833333333333</v>
      </c>
      <c r="W630" s="79">
        <v>17662</v>
      </c>
      <c r="X630" s="322">
        <v>8528</v>
      </c>
      <c r="Y630" s="79">
        <v>5467</v>
      </c>
      <c r="Z630" s="322">
        <v>11557</v>
      </c>
      <c r="AA630" s="79">
        <v>7962</v>
      </c>
      <c r="AB630" s="322">
        <v>8953</v>
      </c>
      <c r="AC630" s="79">
        <v>14444</v>
      </c>
      <c r="AD630" s="322">
        <v>23510</v>
      </c>
      <c r="AE630" s="323">
        <f t="shared" si="180"/>
        <v>45535</v>
      </c>
      <c r="AF630" s="638">
        <f t="shared" si="190"/>
        <v>0</v>
      </c>
      <c r="AG630" s="639" t="s">
        <v>949</v>
      </c>
      <c r="AH630" s="90">
        <f t="shared" si="181"/>
        <v>50.594444444444441</v>
      </c>
      <c r="AI630" s="80">
        <f t="shared" si="182"/>
        <v>52548</v>
      </c>
      <c r="AJ630" s="638">
        <f t="shared" si="191"/>
        <v>0</v>
      </c>
      <c r="AK630" s="639" t="s">
        <v>949</v>
      </c>
      <c r="AL630" s="80">
        <f t="shared" si="183"/>
        <v>58.386666666666663</v>
      </c>
      <c r="AM630" s="79"/>
      <c r="AN630" s="322"/>
      <c r="AO630" s="79"/>
      <c r="AP630" s="322"/>
      <c r="AQ630" s="79"/>
      <c r="AR630" s="322"/>
      <c r="AS630" s="79"/>
      <c r="AT630" s="322"/>
      <c r="AU630" s="325">
        <f t="shared" si="184"/>
        <v>0</v>
      </c>
      <c r="AV630" s="90">
        <f t="shared" si="194"/>
        <v>0</v>
      </c>
      <c r="AW630" s="324">
        <f t="shared" si="185"/>
        <v>0</v>
      </c>
      <c r="AX630" s="80">
        <f t="shared" si="195"/>
        <v>0</v>
      </c>
      <c r="AY630" s="326">
        <f t="shared" si="186"/>
        <v>4758.0611111111111</v>
      </c>
      <c r="AZ630" s="80">
        <f t="shared" si="187"/>
        <v>5079.2199999999993</v>
      </c>
    </row>
    <row r="631" spans="1:52">
      <c r="A631" s="170" t="s">
        <v>306</v>
      </c>
      <c r="B631" s="170" t="s">
        <v>386</v>
      </c>
      <c r="C631" s="229">
        <v>227304</v>
      </c>
      <c r="D631" s="165">
        <v>9</v>
      </c>
      <c r="E631" s="162" t="s">
        <v>442</v>
      </c>
      <c r="F631" s="163" t="s">
        <v>442</v>
      </c>
      <c r="G631" s="79">
        <v>36783</v>
      </c>
      <c r="H631" s="322">
        <v>36714</v>
      </c>
      <c r="I631" s="79">
        <v>5580</v>
      </c>
      <c r="J631" s="322">
        <v>6511</v>
      </c>
      <c r="K631" s="79">
        <v>3545</v>
      </c>
      <c r="L631" s="322">
        <v>4747</v>
      </c>
      <c r="M631" s="79">
        <v>37552</v>
      </c>
      <c r="N631" s="322">
        <v>38791</v>
      </c>
      <c r="O631" s="323">
        <f t="shared" si="178"/>
        <v>83460</v>
      </c>
      <c r="P631" s="638">
        <f t="shared" si="188"/>
        <v>83460</v>
      </c>
      <c r="Q631" s="322">
        <v>7132</v>
      </c>
      <c r="R631" s="90">
        <f t="shared" si="192"/>
        <v>2782</v>
      </c>
      <c r="S631" s="324">
        <f t="shared" si="179"/>
        <v>86763</v>
      </c>
      <c r="T631" s="638">
        <f t="shared" si="189"/>
        <v>86763</v>
      </c>
      <c r="U631" s="322">
        <v>8344</v>
      </c>
      <c r="V631" s="80">
        <f t="shared" si="193"/>
        <v>2892.1</v>
      </c>
      <c r="W631" s="79">
        <v>61884</v>
      </c>
      <c r="X631" s="322">
        <v>58109</v>
      </c>
      <c r="Y631" s="79">
        <v>50795</v>
      </c>
      <c r="Z631" s="322">
        <v>82846</v>
      </c>
      <c r="AA631" s="79">
        <v>62271</v>
      </c>
      <c r="AB631" s="322">
        <v>81785</v>
      </c>
      <c r="AC631" s="79">
        <v>70979</v>
      </c>
      <c r="AD631" s="322">
        <v>81177</v>
      </c>
      <c r="AE631" s="323">
        <f t="shared" si="180"/>
        <v>245929</v>
      </c>
      <c r="AF631" s="638">
        <f t="shared" si="190"/>
        <v>0</v>
      </c>
      <c r="AG631" s="639" t="s">
        <v>949</v>
      </c>
      <c r="AH631" s="90">
        <f t="shared" si="181"/>
        <v>273.25444444444446</v>
      </c>
      <c r="AI631" s="80">
        <f t="shared" si="182"/>
        <v>303917</v>
      </c>
      <c r="AJ631" s="638">
        <f t="shared" si="191"/>
        <v>0</v>
      </c>
      <c r="AK631" s="639" t="s">
        <v>949</v>
      </c>
      <c r="AL631" s="80">
        <f t="shared" si="183"/>
        <v>337.68555555555554</v>
      </c>
      <c r="AM631" s="79"/>
      <c r="AN631" s="322"/>
      <c r="AO631" s="79"/>
      <c r="AP631" s="322"/>
      <c r="AQ631" s="79"/>
      <c r="AR631" s="322"/>
      <c r="AS631" s="79"/>
      <c r="AT631" s="322"/>
      <c r="AU631" s="325">
        <f t="shared" si="184"/>
        <v>0</v>
      </c>
      <c r="AV631" s="90">
        <f t="shared" si="194"/>
        <v>0</v>
      </c>
      <c r="AW631" s="324">
        <f t="shared" si="185"/>
        <v>0</v>
      </c>
      <c r="AX631" s="80">
        <f t="shared" si="195"/>
        <v>0</v>
      </c>
      <c r="AY631" s="326">
        <f t="shared" si="186"/>
        <v>3055.2544444444443</v>
      </c>
      <c r="AZ631" s="80">
        <f t="shared" si="187"/>
        <v>3229.7855555555552</v>
      </c>
    </row>
    <row r="632" spans="1:52">
      <c r="A632" s="170" t="s">
        <v>306</v>
      </c>
      <c r="B632" s="170" t="s">
        <v>387</v>
      </c>
      <c r="C632" s="229">
        <v>227401</v>
      </c>
      <c r="D632" s="165">
        <v>9</v>
      </c>
      <c r="E632" s="162" t="s">
        <v>442</v>
      </c>
      <c r="F632" s="163" t="s">
        <v>442</v>
      </c>
      <c r="G632" s="79">
        <v>36149</v>
      </c>
      <c r="H632" s="322">
        <v>37827</v>
      </c>
      <c r="I632" s="79">
        <v>7328</v>
      </c>
      <c r="J632" s="322">
        <v>7710</v>
      </c>
      <c r="K632" s="79">
        <v>5006</v>
      </c>
      <c r="L632" s="322">
        <v>5083</v>
      </c>
      <c r="M632" s="79">
        <v>39397</v>
      </c>
      <c r="N632" s="322">
        <v>42324</v>
      </c>
      <c r="O632" s="323">
        <f t="shared" si="178"/>
        <v>87880</v>
      </c>
      <c r="P632" s="638">
        <f t="shared" si="188"/>
        <v>87880</v>
      </c>
      <c r="Q632" s="322">
        <v>5871</v>
      </c>
      <c r="R632" s="90">
        <f t="shared" si="192"/>
        <v>2929.3333333333335</v>
      </c>
      <c r="S632" s="324">
        <f t="shared" si="179"/>
        <v>92944</v>
      </c>
      <c r="T632" s="638">
        <f t="shared" si="189"/>
        <v>92944</v>
      </c>
      <c r="U632" s="322">
        <v>8390</v>
      </c>
      <c r="V632" s="80">
        <f t="shared" si="193"/>
        <v>3098.1333333333332</v>
      </c>
      <c r="W632" s="79">
        <v>28874</v>
      </c>
      <c r="X632" s="322">
        <v>13540</v>
      </c>
      <c r="Y632" s="79">
        <v>21612</v>
      </c>
      <c r="Z632" s="322">
        <v>28083</v>
      </c>
      <c r="AA632" s="79">
        <v>26139</v>
      </c>
      <c r="AB632" s="322">
        <v>24720</v>
      </c>
      <c r="AC632" s="79">
        <v>14321</v>
      </c>
      <c r="AD632" s="322">
        <v>19820</v>
      </c>
      <c r="AE632" s="323">
        <f t="shared" si="180"/>
        <v>90946</v>
      </c>
      <c r="AF632" s="638">
        <f t="shared" si="190"/>
        <v>0</v>
      </c>
      <c r="AG632" s="639" t="s">
        <v>949</v>
      </c>
      <c r="AH632" s="90">
        <f t="shared" si="181"/>
        <v>101.05111111111111</v>
      </c>
      <c r="AI632" s="80">
        <f t="shared" si="182"/>
        <v>86163</v>
      </c>
      <c r="AJ632" s="638">
        <f t="shared" si="191"/>
        <v>0</v>
      </c>
      <c r="AK632" s="639" t="s">
        <v>949</v>
      </c>
      <c r="AL632" s="80">
        <f t="shared" si="183"/>
        <v>95.736666666666665</v>
      </c>
      <c r="AM632" s="79"/>
      <c r="AN632" s="322"/>
      <c r="AO632" s="79"/>
      <c r="AP632" s="322"/>
      <c r="AQ632" s="79"/>
      <c r="AR632" s="322"/>
      <c r="AS632" s="79"/>
      <c r="AT632" s="322"/>
      <c r="AU632" s="325">
        <f t="shared" si="184"/>
        <v>0</v>
      </c>
      <c r="AV632" s="90">
        <f t="shared" si="194"/>
        <v>0</v>
      </c>
      <c r="AW632" s="324">
        <f t="shared" si="185"/>
        <v>0</v>
      </c>
      <c r="AX632" s="80">
        <f t="shared" si="195"/>
        <v>0</v>
      </c>
      <c r="AY632" s="326">
        <f t="shared" si="186"/>
        <v>3030.3844444444444</v>
      </c>
      <c r="AZ632" s="80">
        <f t="shared" si="187"/>
        <v>3193.87</v>
      </c>
    </row>
    <row r="633" spans="1:52">
      <c r="A633" s="170" t="s">
        <v>306</v>
      </c>
      <c r="B633" s="170" t="s">
        <v>388</v>
      </c>
      <c r="C633" s="229">
        <v>228316</v>
      </c>
      <c r="D633" s="165">
        <v>9</v>
      </c>
      <c r="E633" s="162" t="s">
        <v>442</v>
      </c>
      <c r="F633" s="163" t="s">
        <v>442</v>
      </c>
      <c r="G633" s="79">
        <v>39302</v>
      </c>
      <c r="H633" s="322">
        <v>37925</v>
      </c>
      <c r="I633" s="79">
        <v>8111</v>
      </c>
      <c r="J633" s="322">
        <v>8372</v>
      </c>
      <c r="K633" s="79">
        <v>3239</v>
      </c>
      <c r="L633" s="322">
        <v>3620</v>
      </c>
      <c r="M633" s="79">
        <v>43386</v>
      </c>
      <c r="N633" s="322">
        <v>43253</v>
      </c>
      <c r="O633" s="323">
        <f t="shared" si="178"/>
        <v>94038</v>
      </c>
      <c r="P633" s="638">
        <f t="shared" si="188"/>
        <v>94038</v>
      </c>
      <c r="Q633" s="322">
        <v>11206</v>
      </c>
      <c r="R633" s="90">
        <f t="shared" si="192"/>
        <v>3134.6</v>
      </c>
      <c r="S633" s="324">
        <f t="shared" si="179"/>
        <v>93170</v>
      </c>
      <c r="T633" s="638">
        <f t="shared" si="189"/>
        <v>93170</v>
      </c>
      <c r="U633" s="322">
        <v>12564</v>
      </c>
      <c r="V633" s="80">
        <f t="shared" si="193"/>
        <v>3105.6666666666665</v>
      </c>
      <c r="W633" s="79">
        <v>34781</v>
      </c>
      <c r="X633" s="322">
        <v>11895</v>
      </c>
      <c r="Y633" s="79">
        <v>27327</v>
      </c>
      <c r="Z633" s="322">
        <v>33433</v>
      </c>
      <c r="AA633" s="79">
        <v>27283</v>
      </c>
      <c r="AB633" s="322">
        <v>25356</v>
      </c>
      <c r="AC633" s="79">
        <v>21965</v>
      </c>
      <c r="AD633" s="322">
        <v>15276</v>
      </c>
      <c r="AE633" s="323">
        <f t="shared" si="180"/>
        <v>111356</v>
      </c>
      <c r="AF633" s="638">
        <f t="shared" si="190"/>
        <v>0</v>
      </c>
      <c r="AG633" s="639" t="s">
        <v>949</v>
      </c>
      <c r="AH633" s="90">
        <f t="shared" si="181"/>
        <v>123.72888888888889</v>
      </c>
      <c r="AI633" s="80">
        <f t="shared" si="182"/>
        <v>85960</v>
      </c>
      <c r="AJ633" s="638">
        <f t="shared" si="191"/>
        <v>0</v>
      </c>
      <c r="AK633" s="639" t="s">
        <v>949</v>
      </c>
      <c r="AL633" s="80">
        <f t="shared" si="183"/>
        <v>95.511111111111106</v>
      </c>
      <c r="AM633" s="79"/>
      <c r="AN633" s="322"/>
      <c r="AO633" s="79"/>
      <c r="AP633" s="322"/>
      <c r="AQ633" s="79"/>
      <c r="AR633" s="322"/>
      <c r="AS633" s="79"/>
      <c r="AT633" s="322"/>
      <c r="AU633" s="325">
        <f t="shared" si="184"/>
        <v>0</v>
      </c>
      <c r="AV633" s="90">
        <f t="shared" si="194"/>
        <v>0</v>
      </c>
      <c r="AW633" s="324">
        <f t="shared" si="185"/>
        <v>0</v>
      </c>
      <c r="AX633" s="80">
        <f t="shared" si="195"/>
        <v>0</v>
      </c>
      <c r="AY633" s="326">
        <f t="shared" si="186"/>
        <v>3258.3288888888887</v>
      </c>
      <c r="AZ633" s="80">
        <f t="shared" si="187"/>
        <v>3201.1777777777775</v>
      </c>
    </row>
    <row r="634" spans="1:52">
      <c r="A634" s="170" t="s">
        <v>306</v>
      </c>
      <c r="B634" s="170" t="s">
        <v>389</v>
      </c>
      <c r="C634" s="229">
        <v>228608</v>
      </c>
      <c r="D634" s="165">
        <v>9</v>
      </c>
      <c r="E634" s="162" t="s">
        <v>442</v>
      </c>
      <c r="F634" s="163" t="s">
        <v>442</v>
      </c>
      <c r="G634" s="79">
        <v>36251</v>
      </c>
      <c r="H634" s="322">
        <v>40573</v>
      </c>
      <c r="I634" s="79">
        <v>9397</v>
      </c>
      <c r="J634" s="322">
        <v>10959</v>
      </c>
      <c r="K634" s="79"/>
      <c r="L634" s="322">
        <v>0</v>
      </c>
      <c r="M634" s="79">
        <v>44362</v>
      </c>
      <c r="N634" s="322">
        <v>47788</v>
      </c>
      <c r="O634" s="323">
        <f t="shared" si="178"/>
        <v>90010</v>
      </c>
      <c r="P634" s="638">
        <f t="shared" si="188"/>
        <v>90010</v>
      </c>
      <c r="Q634" s="322">
        <v>8188</v>
      </c>
      <c r="R634" s="90">
        <f t="shared" si="192"/>
        <v>3000.3333333333335</v>
      </c>
      <c r="S634" s="324">
        <f t="shared" si="179"/>
        <v>99320</v>
      </c>
      <c r="T634" s="638">
        <f t="shared" si="189"/>
        <v>99320</v>
      </c>
      <c r="U634" s="322">
        <v>10613</v>
      </c>
      <c r="V634" s="80">
        <f t="shared" si="193"/>
        <v>3310.6666666666665</v>
      </c>
      <c r="W634" s="79">
        <v>30717</v>
      </c>
      <c r="X634" s="322">
        <v>25081</v>
      </c>
      <c r="Y634" s="79">
        <v>24252</v>
      </c>
      <c r="Z634" s="322">
        <v>37240</v>
      </c>
      <c r="AA634" s="79">
        <v>28118</v>
      </c>
      <c r="AB634" s="322">
        <v>19193</v>
      </c>
      <c r="AC634" s="79">
        <v>28168</v>
      </c>
      <c r="AD634" s="322">
        <v>25037</v>
      </c>
      <c r="AE634" s="323">
        <f t="shared" si="180"/>
        <v>111255</v>
      </c>
      <c r="AF634" s="638">
        <f t="shared" si="190"/>
        <v>0</v>
      </c>
      <c r="AG634" s="639" t="s">
        <v>949</v>
      </c>
      <c r="AH634" s="90">
        <f t="shared" si="181"/>
        <v>123.61666666666666</v>
      </c>
      <c r="AI634" s="80">
        <f t="shared" si="182"/>
        <v>106551</v>
      </c>
      <c r="AJ634" s="638">
        <f t="shared" si="191"/>
        <v>0</v>
      </c>
      <c r="AK634" s="639" t="s">
        <v>949</v>
      </c>
      <c r="AL634" s="80">
        <f t="shared" si="183"/>
        <v>118.39</v>
      </c>
      <c r="AM634" s="79"/>
      <c r="AN634" s="322"/>
      <c r="AO634" s="79"/>
      <c r="AP634" s="322"/>
      <c r="AQ634" s="79"/>
      <c r="AR634" s="322"/>
      <c r="AS634" s="79"/>
      <c r="AT634" s="322"/>
      <c r="AU634" s="325">
        <f t="shared" si="184"/>
        <v>0</v>
      </c>
      <c r="AV634" s="90">
        <f t="shared" si="194"/>
        <v>0</v>
      </c>
      <c r="AW634" s="324">
        <f t="shared" si="185"/>
        <v>0</v>
      </c>
      <c r="AX634" s="80">
        <f t="shared" si="195"/>
        <v>0</v>
      </c>
      <c r="AY634" s="326">
        <f t="shared" si="186"/>
        <v>3123.9500000000003</v>
      </c>
      <c r="AZ634" s="80">
        <f t="shared" si="187"/>
        <v>3429.0566666666664</v>
      </c>
    </row>
    <row r="635" spans="1:52">
      <c r="A635" s="170" t="s">
        <v>306</v>
      </c>
      <c r="B635" s="170" t="s">
        <v>390</v>
      </c>
      <c r="C635" s="229">
        <v>228699</v>
      </c>
      <c r="D635" s="165">
        <v>9</v>
      </c>
      <c r="E635" s="162" t="s">
        <v>442</v>
      </c>
      <c r="F635" s="163" t="s">
        <v>442</v>
      </c>
      <c r="G635" s="79">
        <v>32484</v>
      </c>
      <c r="H635" s="322">
        <v>34480</v>
      </c>
      <c r="I635" s="79">
        <v>9958</v>
      </c>
      <c r="J635" s="322">
        <v>11132</v>
      </c>
      <c r="K635" s="79">
        <v>2455</v>
      </c>
      <c r="L635" s="322">
        <v>2291</v>
      </c>
      <c r="M635" s="79">
        <v>39570</v>
      </c>
      <c r="N635" s="322">
        <v>41762</v>
      </c>
      <c r="O635" s="323">
        <f t="shared" si="178"/>
        <v>84467</v>
      </c>
      <c r="P635" s="638">
        <f t="shared" si="188"/>
        <v>84467</v>
      </c>
      <c r="Q635" s="322">
        <v>6309</v>
      </c>
      <c r="R635" s="90">
        <f t="shared" si="192"/>
        <v>2815.5666666666666</v>
      </c>
      <c r="S635" s="324">
        <f t="shared" si="179"/>
        <v>89665</v>
      </c>
      <c r="T635" s="638">
        <f t="shared" si="189"/>
        <v>89665</v>
      </c>
      <c r="U635" s="322">
        <v>8803</v>
      </c>
      <c r="V635" s="80">
        <f t="shared" si="193"/>
        <v>2988.8333333333335</v>
      </c>
      <c r="W635" s="79">
        <v>103054</v>
      </c>
      <c r="X635" s="322">
        <v>26592</v>
      </c>
      <c r="Y635" s="79">
        <v>95453</v>
      </c>
      <c r="Z635" s="322">
        <v>181522</v>
      </c>
      <c r="AA635" s="79">
        <v>103377</v>
      </c>
      <c r="AB635" s="322">
        <v>104136</v>
      </c>
      <c r="AC635" s="79">
        <v>114998</v>
      </c>
      <c r="AD635" s="322">
        <v>96631</v>
      </c>
      <c r="AE635" s="323">
        <f t="shared" si="180"/>
        <v>416882</v>
      </c>
      <c r="AF635" s="638">
        <f t="shared" si="190"/>
        <v>0</v>
      </c>
      <c r="AG635" s="639" t="s">
        <v>949</v>
      </c>
      <c r="AH635" s="90">
        <f t="shared" si="181"/>
        <v>463.20222222222225</v>
      </c>
      <c r="AI635" s="80">
        <f t="shared" si="182"/>
        <v>408881</v>
      </c>
      <c r="AJ635" s="638">
        <f t="shared" si="191"/>
        <v>0</v>
      </c>
      <c r="AK635" s="639" t="s">
        <v>949</v>
      </c>
      <c r="AL635" s="80">
        <f t="shared" si="183"/>
        <v>454.3122222222222</v>
      </c>
      <c r="AM635" s="79"/>
      <c r="AN635" s="322"/>
      <c r="AO635" s="79"/>
      <c r="AP635" s="322"/>
      <c r="AQ635" s="79"/>
      <c r="AR635" s="322"/>
      <c r="AS635" s="79"/>
      <c r="AT635" s="322"/>
      <c r="AU635" s="325">
        <f t="shared" si="184"/>
        <v>0</v>
      </c>
      <c r="AV635" s="90">
        <f t="shared" si="194"/>
        <v>0</v>
      </c>
      <c r="AW635" s="324">
        <f t="shared" si="185"/>
        <v>0</v>
      </c>
      <c r="AX635" s="80">
        <f t="shared" si="195"/>
        <v>0</v>
      </c>
      <c r="AY635" s="326">
        <f t="shared" si="186"/>
        <v>3278.7688888888888</v>
      </c>
      <c r="AZ635" s="80">
        <f t="shared" si="187"/>
        <v>3443.1455555555558</v>
      </c>
    </row>
    <row r="636" spans="1:52">
      <c r="A636" s="170" t="s">
        <v>306</v>
      </c>
      <c r="B636" s="170" t="s">
        <v>391</v>
      </c>
      <c r="C636" s="229">
        <v>229319</v>
      </c>
      <c r="D636" s="165">
        <v>9</v>
      </c>
      <c r="E636" s="162" t="s">
        <v>442</v>
      </c>
      <c r="F636" s="163" t="s">
        <v>442</v>
      </c>
      <c r="G636" s="79">
        <v>36215</v>
      </c>
      <c r="H636" s="322">
        <v>36572</v>
      </c>
      <c r="I636" s="79">
        <v>23994</v>
      </c>
      <c r="J636" s="322">
        <v>29524</v>
      </c>
      <c r="K636" s="79"/>
      <c r="L636" s="322">
        <v>0</v>
      </c>
      <c r="M636" s="79">
        <v>44091</v>
      </c>
      <c r="N636" s="322">
        <v>46369</v>
      </c>
      <c r="O636" s="323">
        <f t="shared" si="178"/>
        <v>104300</v>
      </c>
      <c r="P636" s="638">
        <f t="shared" si="188"/>
        <v>104300</v>
      </c>
      <c r="Q636" s="322">
        <v>9761</v>
      </c>
      <c r="R636" s="90">
        <f t="shared" si="192"/>
        <v>3476.6666666666665</v>
      </c>
      <c r="S636" s="324">
        <f t="shared" si="179"/>
        <v>112465</v>
      </c>
      <c r="T636" s="638">
        <f t="shared" si="189"/>
        <v>112465</v>
      </c>
      <c r="U636" s="322">
        <v>14940</v>
      </c>
      <c r="V636" s="80">
        <f t="shared" si="193"/>
        <v>3748.8333333333335</v>
      </c>
      <c r="W636" s="79">
        <v>70683</v>
      </c>
      <c r="X636" s="322">
        <v>48048</v>
      </c>
      <c r="Y636" s="79">
        <v>68846</v>
      </c>
      <c r="Z636" s="322">
        <v>50176</v>
      </c>
      <c r="AA636" s="79">
        <v>39523</v>
      </c>
      <c r="AB636" s="322">
        <v>36111</v>
      </c>
      <c r="AC636" s="79">
        <v>41384</v>
      </c>
      <c r="AD636" s="322">
        <v>34126</v>
      </c>
      <c r="AE636" s="323">
        <f t="shared" si="180"/>
        <v>220436</v>
      </c>
      <c r="AF636" s="638">
        <f t="shared" si="190"/>
        <v>0</v>
      </c>
      <c r="AG636" s="639" t="s">
        <v>949</v>
      </c>
      <c r="AH636" s="90">
        <f t="shared" si="181"/>
        <v>244.92888888888888</v>
      </c>
      <c r="AI636" s="80">
        <f t="shared" si="182"/>
        <v>168461</v>
      </c>
      <c r="AJ636" s="638">
        <f t="shared" si="191"/>
        <v>0</v>
      </c>
      <c r="AK636" s="639" t="s">
        <v>949</v>
      </c>
      <c r="AL636" s="80">
        <f t="shared" si="183"/>
        <v>187.17888888888888</v>
      </c>
      <c r="AM636" s="79"/>
      <c r="AN636" s="322"/>
      <c r="AO636" s="79"/>
      <c r="AP636" s="322"/>
      <c r="AQ636" s="79"/>
      <c r="AR636" s="322"/>
      <c r="AS636" s="79"/>
      <c r="AT636" s="322"/>
      <c r="AU636" s="325">
        <f t="shared" si="184"/>
        <v>0</v>
      </c>
      <c r="AV636" s="90">
        <f t="shared" si="194"/>
        <v>0</v>
      </c>
      <c r="AW636" s="324">
        <f t="shared" si="185"/>
        <v>0</v>
      </c>
      <c r="AX636" s="80">
        <f t="shared" si="195"/>
        <v>0</v>
      </c>
      <c r="AY636" s="326">
        <f t="shared" si="186"/>
        <v>3721.5955555555556</v>
      </c>
      <c r="AZ636" s="80">
        <f t="shared" si="187"/>
        <v>3936.0122222222226</v>
      </c>
    </row>
    <row r="637" spans="1:52">
      <c r="A637" s="170" t="s">
        <v>306</v>
      </c>
      <c r="B637" s="170" t="s">
        <v>392</v>
      </c>
      <c r="C637" s="229">
        <v>228680</v>
      </c>
      <c r="D637" s="168">
        <v>9</v>
      </c>
      <c r="E637" s="162" t="s">
        <v>442</v>
      </c>
      <c r="F637" s="163" t="s">
        <v>442</v>
      </c>
      <c r="G637" s="79">
        <v>44710</v>
      </c>
      <c r="H637" s="322">
        <v>43385</v>
      </c>
      <c r="I637" s="79">
        <v>28639</v>
      </c>
      <c r="J637" s="322">
        <v>28846</v>
      </c>
      <c r="K637" s="79"/>
      <c r="L637" s="322">
        <v>0</v>
      </c>
      <c r="M637" s="79">
        <v>49938</v>
      </c>
      <c r="N637" s="322">
        <v>53229</v>
      </c>
      <c r="O637" s="323">
        <f t="shared" si="178"/>
        <v>123287</v>
      </c>
      <c r="P637" s="638">
        <f t="shared" si="188"/>
        <v>123287</v>
      </c>
      <c r="Q637" s="322">
        <v>2609</v>
      </c>
      <c r="R637" s="90">
        <f t="shared" si="192"/>
        <v>4109.5666666666666</v>
      </c>
      <c r="S637" s="324">
        <f t="shared" si="179"/>
        <v>125460</v>
      </c>
      <c r="T637" s="638">
        <f t="shared" si="189"/>
        <v>125460</v>
      </c>
      <c r="U637" s="322">
        <v>5507</v>
      </c>
      <c r="V637" s="80">
        <f t="shared" si="193"/>
        <v>4182</v>
      </c>
      <c r="W637" s="79">
        <v>25480</v>
      </c>
      <c r="X637" s="322">
        <v>33193</v>
      </c>
      <c r="Y637" s="79">
        <v>12628</v>
      </c>
      <c r="Z637" s="322">
        <v>30207</v>
      </c>
      <c r="AA637" s="79">
        <v>13080</v>
      </c>
      <c r="AB637" s="322">
        <v>10606</v>
      </c>
      <c r="AC637" s="79">
        <v>27913</v>
      </c>
      <c r="AD637" s="322">
        <v>10968</v>
      </c>
      <c r="AE637" s="323">
        <f t="shared" si="180"/>
        <v>79101</v>
      </c>
      <c r="AF637" s="638">
        <f t="shared" si="190"/>
        <v>0</v>
      </c>
      <c r="AG637" s="639" t="s">
        <v>949</v>
      </c>
      <c r="AH637" s="90">
        <f t="shared" si="181"/>
        <v>87.89</v>
      </c>
      <c r="AI637" s="80">
        <f t="shared" si="182"/>
        <v>84974</v>
      </c>
      <c r="AJ637" s="638">
        <f t="shared" si="191"/>
        <v>0</v>
      </c>
      <c r="AK637" s="639" t="s">
        <v>949</v>
      </c>
      <c r="AL637" s="80">
        <f t="shared" si="183"/>
        <v>94.415555555555557</v>
      </c>
      <c r="AM637" s="79"/>
      <c r="AN637" s="322"/>
      <c r="AO637" s="79"/>
      <c r="AP637" s="322"/>
      <c r="AQ637" s="79"/>
      <c r="AR637" s="322"/>
      <c r="AS637" s="79"/>
      <c r="AT637" s="322"/>
      <c r="AU637" s="325">
        <f t="shared" si="184"/>
        <v>0</v>
      </c>
      <c r="AV637" s="90">
        <f t="shared" si="194"/>
        <v>0</v>
      </c>
      <c r="AW637" s="324">
        <f t="shared" si="185"/>
        <v>0</v>
      </c>
      <c r="AX637" s="80">
        <f t="shared" si="195"/>
        <v>0</v>
      </c>
      <c r="AY637" s="326">
        <f t="shared" si="186"/>
        <v>4197.4566666666669</v>
      </c>
      <c r="AZ637" s="80">
        <f t="shared" si="187"/>
        <v>4276.4155555555553</v>
      </c>
    </row>
    <row r="638" spans="1:52">
      <c r="A638" s="170" t="s">
        <v>306</v>
      </c>
      <c r="B638" s="170" t="s">
        <v>393</v>
      </c>
      <c r="C638" s="229">
        <v>225308</v>
      </c>
      <c r="D638" s="168">
        <v>9</v>
      </c>
      <c r="E638" s="162" t="s">
        <v>442</v>
      </c>
      <c r="F638" s="163" t="s">
        <v>442</v>
      </c>
      <c r="G638" s="79">
        <v>53100</v>
      </c>
      <c r="H638" s="322">
        <v>52993</v>
      </c>
      <c r="I638" s="79">
        <v>14537</v>
      </c>
      <c r="J638" s="349">
        <v>14283</v>
      </c>
      <c r="K638" s="79">
        <v>9943</v>
      </c>
      <c r="L638" s="349">
        <v>11096</v>
      </c>
      <c r="M638" s="79">
        <v>53544</v>
      </c>
      <c r="N638" s="349">
        <v>55693</v>
      </c>
      <c r="O638" s="323">
        <f t="shared" si="178"/>
        <v>131124</v>
      </c>
      <c r="P638" s="638">
        <f t="shared" si="188"/>
        <v>131124</v>
      </c>
      <c r="Q638" s="322">
        <v>10238</v>
      </c>
      <c r="R638" s="90">
        <f t="shared" si="192"/>
        <v>4370.8</v>
      </c>
      <c r="S638" s="324">
        <f t="shared" si="179"/>
        <v>134065</v>
      </c>
      <c r="T638" s="638">
        <f t="shared" si="189"/>
        <v>134065</v>
      </c>
      <c r="U638" s="322">
        <v>10856</v>
      </c>
      <c r="V638" s="80">
        <f t="shared" si="193"/>
        <v>4468.833333333333</v>
      </c>
      <c r="W638" s="79">
        <v>68834</v>
      </c>
      <c r="X638" s="322">
        <v>61705</v>
      </c>
      <c r="Y638" s="79">
        <v>39498</v>
      </c>
      <c r="Z638" s="322">
        <v>47948</v>
      </c>
      <c r="AA638" s="79">
        <v>45607</v>
      </c>
      <c r="AB638" s="322">
        <v>42737</v>
      </c>
      <c r="AC638" s="79">
        <v>64956</v>
      </c>
      <c r="AD638" s="322">
        <v>44754</v>
      </c>
      <c r="AE638" s="323">
        <f t="shared" si="180"/>
        <v>218895</v>
      </c>
      <c r="AF638" s="638">
        <f t="shared" si="190"/>
        <v>0</v>
      </c>
      <c r="AG638" s="639" t="s">
        <v>949</v>
      </c>
      <c r="AH638" s="90">
        <f t="shared" si="181"/>
        <v>243.21666666666667</v>
      </c>
      <c r="AI638" s="80">
        <f t="shared" si="182"/>
        <v>197144</v>
      </c>
      <c r="AJ638" s="638">
        <f t="shared" si="191"/>
        <v>0</v>
      </c>
      <c r="AK638" s="639" t="s">
        <v>949</v>
      </c>
      <c r="AL638" s="80">
        <f t="shared" si="183"/>
        <v>219.04888888888888</v>
      </c>
      <c r="AM638" s="79"/>
      <c r="AN638" s="322"/>
      <c r="AO638" s="79"/>
      <c r="AP638" s="322"/>
      <c r="AQ638" s="79"/>
      <c r="AR638" s="322"/>
      <c r="AS638" s="79"/>
      <c r="AT638" s="322"/>
      <c r="AU638" s="325">
        <f t="shared" si="184"/>
        <v>0</v>
      </c>
      <c r="AV638" s="90">
        <f t="shared" si="194"/>
        <v>0</v>
      </c>
      <c r="AW638" s="324">
        <f t="shared" si="185"/>
        <v>0</v>
      </c>
      <c r="AX638" s="80">
        <f t="shared" si="195"/>
        <v>0</v>
      </c>
      <c r="AY638" s="326">
        <f t="shared" si="186"/>
        <v>4614.0166666666664</v>
      </c>
      <c r="AZ638" s="80">
        <f t="shared" si="187"/>
        <v>4687.8822222222216</v>
      </c>
    </row>
    <row r="639" spans="1:52">
      <c r="A639" s="170" t="s">
        <v>306</v>
      </c>
      <c r="B639" s="170" t="s">
        <v>394</v>
      </c>
      <c r="C639" s="229">
        <v>229504</v>
      </c>
      <c r="D639" s="168">
        <v>9</v>
      </c>
      <c r="E639" s="162" t="s">
        <v>442</v>
      </c>
      <c r="F639" s="163" t="s">
        <v>442</v>
      </c>
      <c r="G639" s="79">
        <v>24050</v>
      </c>
      <c r="H639" s="322">
        <v>24036</v>
      </c>
      <c r="I639" s="79">
        <v>3274</v>
      </c>
      <c r="J639" s="322">
        <v>4052</v>
      </c>
      <c r="K639" s="79">
        <v>5112</v>
      </c>
      <c r="L639" s="322">
        <v>5547</v>
      </c>
      <c r="M639" s="79">
        <v>23598</v>
      </c>
      <c r="N639" s="322">
        <v>23848</v>
      </c>
      <c r="O639" s="323">
        <f t="shared" si="178"/>
        <v>56034</v>
      </c>
      <c r="P639" s="638">
        <f t="shared" si="188"/>
        <v>56034</v>
      </c>
      <c r="Q639" s="322">
        <v>2802</v>
      </c>
      <c r="R639" s="90">
        <f t="shared" si="192"/>
        <v>1867.8</v>
      </c>
      <c r="S639" s="324">
        <f t="shared" si="179"/>
        <v>57483</v>
      </c>
      <c r="T639" s="638">
        <f t="shared" si="189"/>
        <v>57483</v>
      </c>
      <c r="U639" s="322">
        <v>5398</v>
      </c>
      <c r="V639" s="80">
        <f t="shared" si="193"/>
        <v>1916.1</v>
      </c>
      <c r="W639" s="79">
        <v>61246</v>
      </c>
      <c r="X639" s="322">
        <v>53251</v>
      </c>
      <c r="Y639" s="79">
        <v>35381</v>
      </c>
      <c r="Z639" s="322">
        <v>35604</v>
      </c>
      <c r="AA639" s="79">
        <v>24665</v>
      </c>
      <c r="AB639" s="322">
        <v>36109</v>
      </c>
      <c r="AC639" s="79">
        <v>40143</v>
      </c>
      <c r="AD639" s="322">
        <v>63028</v>
      </c>
      <c r="AE639" s="323">
        <f t="shared" si="180"/>
        <v>161435</v>
      </c>
      <c r="AF639" s="638">
        <f t="shared" si="190"/>
        <v>0</v>
      </c>
      <c r="AG639" s="639" t="s">
        <v>949</v>
      </c>
      <c r="AH639" s="90">
        <f t="shared" si="181"/>
        <v>179.37222222222223</v>
      </c>
      <c r="AI639" s="80">
        <f t="shared" si="182"/>
        <v>187992</v>
      </c>
      <c r="AJ639" s="638">
        <f t="shared" si="191"/>
        <v>0</v>
      </c>
      <c r="AK639" s="639" t="s">
        <v>949</v>
      </c>
      <c r="AL639" s="80">
        <f t="shared" si="183"/>
        <v>208.88</v>
      </c>
      <c r="AM639" s="79"/>
      <c r="AN639" s="322"/>
      <c r="AO639" s="79"/>
      <c r="AP639" s="322"/>
      <c r="AQ639" s="79"/>
      <c r="AR639" s="322"/>
      <c r="AS639" s="79"/>
      <c r="AT639" s="322"/>
      <c r="AU639" s="325">
        <f t="shared" si="184"/>
        <v>0</v>
      </c>
      <c r="AV639" s="90">
        <f t="shared" si="194"/>
        <v>0</v>
      </c>
      <c r="AW639" s="324">
        <f t="shared" si="185"/>
        <v>0</v>
      </c>
      <c r="AX639" s="80">
        <f t="shared" si="195"/>
        <v>0</v>
      </c>
      <c r="AY639" s="326">
        <f t="shared" si="186"/>
        <v>2047.1722222222222</v>
      </c>
      <c r="AZ639" s="80">
        <f t="shared" si="187"/>
        <v>2124.98</v>
      </c>
    </row>
    <row r="640" spans="1:52">
      <c r="A640" s="170" t="s">
        <v>306</v>
      </c>
      <c r="B640" s="170" t="s">
        <v>395</v>
      </c>
      <c r="C640" s="229">
        <v>229540</v>
      </c>
      <c r="D640" s="168">
        <v>9</v>
      </c>
      <c r="E640" s="162" t="s">
        <v>442</v>
      </c>
      <c r="F640" s="163" t="s">
        <v>442</v>
      </c>
      <c r="G640" s="79">
        <v>32122</v>
      </c>
      <c r="H640" s="322">
        <v>31529</v>
      </c>
      <c r="I640" s="79">
        <v>6547</v>
      </c>
      <c r="J640" s="322">
        <v>6856</v>
      </c>
      <c r="K640" s="79">
        <v>2098</v>
      </c>
      <c r="L640" s="322">
        <v>2115</v>
      </c>
      <c r="M640" s="79">
        <v>33515</v>
      </c>
      <c r="N640" s="322">
        <v>33728</v>
      </c>
      <c r="O640" s="323">
        <f t="shared" si="178"/>
        <v>74282</v>
      </c>
      <c r="P640" s="638">
        <f t="shared" si="188"/>
        <v>74282</v>
      </c>
      <c r="Q640" s="322">
        <v>3037</v>
      </c>
      <c r="R640" s="90">
        <f t="shared" si="192"/>
        <v>2476.0666666666666</v>
      </c>
      <c r="S640" s="324">
        <f t="shared" si="179"/>
        <v>74228</v>
      </c>
      <c r="T640" s="638">
        <f t="shared" si="189"/>
        <v>74228</v>
      </c>
      <c r="U640" s="322">
        <v>2867</v>
      </c>
      <c r="V640" s="80">
        <f t="shared" si="193"/>
        <v>2474.2666666666669</v>
      </c>
      <c r="W640" s="79">
        <v>49128</v>
      </c>
      <c r="X640" s="322">
        <v>41861</v>
      </c>
      <c r="Y640" s="79">
        <v>29436</v>
      </c>
      <c r="Z640" s="322">
        <v>36039</v>
      </c>
      <c r="AA640" s="79">
        <v>35174</v>
      </c>
      <c r="AB640" s="322">
        <v>57549</v>
      </c>
      <c r="AC640" s="79">
        <v>27787</v>
      </c>
      <c r="AD640" s="322">
        <v>53414</v>
      </c>
      <c r="AE640" s="323">
        <f t="shared" si="180"/>
        <v>141525</v>
      </c>
      <c r="AF640" s="638">
        <f t="shared" si="190"/>
        <v>0</v>
      </c>
      <c r="AG640" s="639" t="s">
        <v>949</v>
      </c>
      <c r="AH640" s="90">
        <f t="shared" si="181"/>
        <v>157.25</v>
      </c>
      <c r="AI640" s="80">
        <f t="shared" si="182"/>
        <v>188863</v>
      </c>
      <c r="AJ640" s="638">
        <f t="shared" si="191"/>
        <v>0</v>
      </c>
      <c r="AK640" s="639" t="s">
        <v>949</v>
      </c>
      <c r="AL640" s="80">
        <f t="shared" si="183"/>
        <v>209.84777777777776</v>
      </c>
      <c r="AM640" s="79"/>
      <c r="AN640" s="322"/>
      <c r="AO640" s="79"/>
      <c r="AP640" s="322"/>
      <c r="AQ640" s="79"/>
      <c r="AR640" s="322"/>
      <c r="AS640" s="79"/>
      <c r="AT640" s="322"/>
      <c r="AU640" s="325">
        <f t="shared" si="184"/>
        <v>0</v>
      </c>
      <c r="AV640" s="90">
        <f t="shared" si="194"/>
        <v>0</v>
      </c>
      <c r="AW640" s="324">
        <f t="shared" si="185"/>
        <v>0</v>
      </c>
      <c r="AX640" s="80">
        <f t="shared" si="195"/>
        <v>0</v>
      </c>
      <c r="AY640" s="326">
        <f t="shared" si="186"/>
        <v>2633.3166666666666</v>
      </c>
      <c r="AZ640" s="80">
        <f t="shared" si="187"/>
        <v>2684.1144444444444</v>
      </c>
    </row>
    <row r="641" spans="1:52">
      <c r="A641" s="170" t="s">
        <v>306</v>
      </c>
      <c r="B641" s="170" t="s">
        <v>396</v>
      </c>
      <c r="C641" s="229">
        <v>229799</v>
      </c>
      <c r="D641" s="168">
        <v>9</v>
      </c>
      <c r="E641" s="162" t="s">
        <v>442</v>
      </c>
      <c r="F641" s="163" t="s">
        <v>442</v>
      </c>
      <c r="G641" s="79">
        <v>39045</v>
      </c>
      <c r="H641" s="322">
        <v>38668</v>
      </c>
      <c r="I641" s="79">
        <v>5844</v>
      </c>
      <c r="J641" s="322">
        <v>6174</v>
      </c>
      <c r="K641" s="79">
        <v>2788</v>
      </c>
      <c r="L641" s="322">
        <v>3427</v>
      </c>
      <c r="M641" s="79">
        <v>43324</v>
      </c>
      <c r="N641" s="322">
        <v>45241</v>
      </c>
      <c r="O641" s="323">
        <f t="shared" si="178"/>
        <v>91001</v>
      </c>
      <c r="P641" s="638">
        <f t="shared" si="188"/>
        <v>91001</v>
      </c>
      <c r="Q641" s="322">
        <v>2972</v>
      </c>
      <c r="R641" s="90">
        <f t="shared" si="192"/>
        <v>3033.3666666666668</v>
      </c>
      <c r="S641" s="324">
        <f t="shared" si="179"/>
        <v>93510</v>
      </c>
      <c r="T641" s="638">
        <f t="shared" si="189"/>
        <v>93510</v>
      </c>
      <c r="U641" s="322">
        <v>5461</v>
      </c>
      <c r="V641" s="80">
        <f t="shared" si="193"/>
        <v>3117</v>
      </c>
      <c r="W641" s="79">
        <v>84163</v>
      </c>
      <c r="X641" s="322">
        <v>23281</v>
      </c>
      <c r="Y641" s="79">
        <v>85792</v>
      </c>
      <c r="Z641" s="322">
        <v>24296</v>
      </c>
      <c r="AA641" s="79">
        <v>57159</v>
      </c>
      <c r="AB641" s="322">
        <v>24572</v>
      </c>
      <c r="AC641" s="79">
        <v>87219</v>
      </c>
      <c r="AD641" s="322">
        <v>40112</v>
      </c>
      <c r="AE641" s="323">
        <f t="shared" si="180"/>
        <v>314333</v>
      </c>
      <c r="AF641" s="638">
        <f t="shared" si="190"/>
        <v>0</v>
      </c>
      <c r="AG641" s="639" t="s">
        <v>949</v>
      </c>
      <c r="AH641" s="90">
        <f t="shared" si="181"/>
        <v>349.25888888888886</v>
      </c>
      <c r="AI641" s="80">
        <f t="shared" si="182"/>
        <v>112261</v>
      </c>
      <c r="AJ641" s="638">
        <f t="shared" si="191"/>
        <v>0</v>
      </c>
      <c r="AK641" s="639" t="s">
        <v>949</v>
      </c>
      <c r="AL641" s="80">
        <f t="shared" si="183"/>
        <v>124.73444444444445</v>
      </c>
      <c r="AM641" s="79"/>
      <c r="AN641" s="322"/>
      <c r="AO641" s="79"/>
      <c r="AP641" s="322"/>
      <c r="AQ641" s="79"/>
      <c r="AR641" s="322"/>
      <c r="AS641" s="79"/>
      <c r="AT641" s="322"/>
      <c r="AU641" s="325">
        <f t="shared" si="184"/>
        <v>0</v>
      </c>
      <c r="AV641" s="90">
        <f t="shared" si="194"/>
        <v>0</v>
      </c>
      <c r="AW641" s="324">
        <f t="shared" si="185"/>
        <v>0</v>
      </c>
      <c r="AX641" s="80">
        <f t="shared" si="195"/>
        <v>0</v>
      </c>
      <c r="AY641" s="326">
        <f t="shared" si="186"/>
        <v>3382.6255555555558</v>
      </c>
      <c r="AZ641" s="80">
        <f t="shared" si="187"/>
        <v>3241.7344444444443</v>
      </c>
    </row>
    <row r="642" spans="1:52">
      <c r="A642" s="170" t="s">
        <v>306</v>
      </c>
      <c r="B642" s="170" t="s">
        <v>397</v>
      </c>
      <c r="C642" s="229">
        <v>229841</v>
      </c>
      <c r="D642" s="168">
        <v>9</v>
      </c>
      <c r="E642" s="162" t="s">
        <v>442</v>
      </c>
      <c r="F642" s="163" t="s">
        <v>442</v>
      </c>
      <c r="G642" s="79">
        <v>51089</v>
      </c>
      <c r="H642" s="322">
        <v>50540</v>
      </c>
      <c r="I642" s="79">
        <v>9578</v>
      </c>
      <c r="J642" s="322">
        <v>10405</v>
      </c>
      <c r="K642" s="79">
        <v>5541</v>
      </c>
      <c r="L642" s="322">
        <v>5452</v>
      </c>
      <c r="M642" s="79">
        <v>54346</v>
      </c>
      <c r="N642" s="322">
        <v>56027</v>
      </c>
      <c r="O642" s="323">
        <f t="shared" si="178"/>
        <v>120554</v>
      </c>
      <c r="P642" s="638">
        <f t="shared" si="188"/>
        <v>120554</v>
      </c>
      <c r="Q642" s="322">
        <v>6989</v>
      </c>
      <c r="R642" s="90">
        <f t="shared" si="192"/>
        <v>4018.4666666666667</v>
      </c>
      <c r="S642" s="324">
        <f t="shared" si="179"/>
        <v>122424</v>
      </c>
      <c r="T642" s="638">
        <f t="shared" si="189"/>
        <v>122424</v>
      </c>
      <c r="U642" s="322">
        <v>8129</v>
      </c>
      <c r="V642" s="80">
        <f t="shared" si="193"/>
        <v>4080.8</v>
      </c>
      <c r="W642" s="79">
        <v>4794</v>
      </c>
      <c r="X642" s="322">
        <v>5774</v>
      </c>
      <c r="Y642" s="79">
        <v>5441</v>
      </c>
      <c r="Z642" s="322">
        <v>3482</v>
      </c>
      <c r="AA642" s="79">
        <v>10068</v>
      </c>
      <c r="AB642" s="322">
        <v>7076</v>
      </c>
      <c r="AC642" s="79">
        <v>6851</v>
      </c>
      <c r="AD642" s="322">
        <v>9395</v>
      </c>
      <c r="AE642" s="323">
        <f t="shared" si="180"/>
        <v>27154</v>
      </c>
      <c r="AF642" s="638">
        <f t="shared" si="190"/>
        <v>0</v>
      </c>
      <c r="AG642" s="639" t="s">
        <v>949</v>
      </c>
      <c r="AH642" s="90">
        <f t="shared" si="181"/>
        <v>30.171111111111109</v>
      </c>
      <c r="AI642" s="80">
        <f t="shared" si="182"/>
        <v>25727</v>
      </c>
      <c r="AJ642" s="638">
        <f t="shared" si="191"/>
        <v>0</v>
      </c>
      <c r="AK642" s="639" t="s">
        <v>949</v>
      </c>
      <c r="AL642" s="80">
        <f t="shared" si="183"/>
        <v>28.585555555555555</v>
      </c>
      <c r="AM642" s="79"/>
      <c r="AN642" s="322"/>
      <c r="AO642" s="79"/>
      <c r="AP642" s="322"/>
      <c r="AQ642" s="79"/>
      <c r="AR642" s="322"/>
      <c r="AS642" s="79"/>
      <c r="AT642" s="322"/>
      <c r="AU642" s="325">
        <f t="shared" si="184"/>
        <v>0</v>
      </c>
      <c r="AV642" s="90">
        <f t="shared" si="194"/>
        <v>0</v>
      </c>
      <c r="AW642" s="324">
        <f t="shared" si="185"/>
        <v>0</v>
      </c>
      <c r="AX642" s="80">
        <f t="shared" si="195"/>
        <v>0</v>
      </c>
      <c r="AY642" s="326">
        <f t="shared" si="186"/>
        <v>4048.637777777778</v>
      </c>
      <c r="AZ642" s="80">
        <f t="shared" si="187"/>
        <v>4109.3855555555556</v>
      </c>
    </row>
    <row r="643" spans="1:52">
      <c r="A643" s="170" t="s">
        <v>306</v>
      </c>
      <c r="B643" s="170" t="s">
        <v>398</v>
      </c>
      <c r="C643" s="229">
        <v>223922</v>
      </c>
      <c r="D643" s="168">
        <v>10</v>
      </c>
      <c r="E643" s="162" t="s">
        <v>442</v>
      </c>
      <c r="F643" s="163" t="s">
        <v>442</v>
      </c>
      <c r="G643" s="79">
        <v>10645</v>
      </c>
      <c r="H643" s="322">
        <v>10699</v>
      </c>
      <c r="I643" s="79">
        <v>2219</v>
      </c>
      <c r="J643" s="322">
        <v>1803</v>
      </c>
      <c r="K643" s="79">
        <v>370</v>
      </c>
      <c r="L643" s="322">
        <v>1016</v>
      </c>
      <c r="M643" s="79">
        <v>11637</v>
      </c>
      <c r="N643" s="322">
        <v>13381</v>
      </c>
      <c r="O643" s="323">
        <f t="shared" si="178"/>
        <v>24871</v>
      </c>
      <c r="P643" s="638">
        <f t="shared" si="188"/>
        <v>24871</v>
      </c>
      <c r="Q643" s="322">
        <v>2771</v>
      </c>
      <c r="R643" s="90">
        <f t="shared" si="192"/>
        <v>829.0333333333333</v>
      </c>
      <c r="S643" s="324">
        <f t="shared" si="179"/>
        <v>26899</v>
      </c>
      <c r="T643" s="638">
        <f t="shared" si="189"/>
        <v>26899</v>
      </c>
      <c r="U643" s="322">
        <v>3204</v>
      </c>
      <c r="V643" s="80">
        <f t="shared" si="193"/>
        <v>896.63333333333333</v>
      </c>
      <c r="W643" s="79">
        <v>1474</v>
      </c>
      <c r="X643" s="322">
        <v>5000</v>
      </c>
      <c r="Y643" s="79">
        <v>591</v>
      </c>
      <c r="Z643" s="322">
        <v>3688</v>
      </c>
      <c r="AA643" s="79">
        <v>186</v>
      </c>
      <c r="AB643" s="322">
        <v>544</v>
      </c>
      <c r="AC643" s="79">
        <v>3290</v>
      </c>
      <c r="AD643" s="322">
        <v>3472</v>
      </c>
      <c r="AE643" s="323">
        <f t="shared" si="180"/>
        <v>5541</v>
      </c>
      <c r="AF643" s="638">
        <f t="shared" si="190"/>
        <v>0</v>
      </c>
      <c r="AG643" s="639" t="s">
        <v>949</v>
      </c>
      <c r="AH643" s="90">
        <f t="shared" si="181"/>
        <v>6.1566666666666663</v>
      </c>
      <c r="AI643" s="80">
        <f t="shared" si="182"/>
        <v>12704</v>
      </c>
      <c r="AJ643" s="638">
        <f t="shared" si="191"/>
        <v>0</v>
      </c>
      <c r="AK643" s="639" t="s">
        <v>949</v>
      </c>
      <c r="AL643" s="80">
        <f t="shared" si="183"/>
        <v>14.115555555555556</v>
      </c>
      <c r="AM643" s="79"/>
      <c r="AN643" s="322"/>
      <c r="AO643" s="79"/>
      <c r="AP643" s="322"/>
      <c r="AQ643" s="79"/>
      <c r="AR643" s="322"/>
      <c r="AS643" s="79"/>
      <c r="AT643" s="322"/>
      <c r="AU643" s="325">
        <f t="shared" si="184"/>
        <v>0</v>
      </c>
      <c r="AV643" s="90">
        <f t="shared" si="194"/>
        <v>0</v>
      </c>
      <c r="AW643" s="324">
        <f t="shared" si="185"/>
        <v>0</v>
      </c>
      <c r="AX643" s="80">
        <f t="shared" si="195"/>
        <v>0</v>
      </c>
      <c r="AY643" s="326">
        <f t="shared" si="186"/>
        <v>835.18999999999994</v>
      </c>
      <c r="AZ643" s="80">
        <f t="shared" si="187"/>
        <v>910.74888888888893</v>
      </c>
    </row>
    <row r="644" spans="1:52">
      <c r="A644" s="170" t="s">
        <v>306</v>
      </c>
      <c r="B644" s="170" t="s">
        <v>399</v>
      </c>
      <c r="C644" s="229">
        <v>224891</v>
      </c>
      <c r="D644" s="165">
        <v>10</v>
      </c>
      <c r="E644" s="162" t="s">
        <v>442</v>
      </c>
      <c r="F644" s="163" t="s">
        <v>442</v>
      </c>
      <c r="G644" s="79">
        <v>11516</v>
      </c>
      <c r="H644" s="322">
        <v>11563</v>
      </c>
      <c r="I644" s="79">
        <v>1955</v>
      </c>
      <c r="J644" s="322">
        <v>2008</v>
      </c>
      <c r="K644" s="79">
        <v>780</v>
      </c>
      <c r="L644" s="322">
        <v>756</v>
      </c>
      <c r="M644" s="79">
        <v>11949</v>
      </c>
      <c r="N644" s="322">
        <v>11408</v>
      </c>
      <c r="O644" s="323">
        <f t="shared" ref="O644:O707" si="196">SUM(G644,I644,K644,M644)</f>
        <v>26200</v>
      </c>
      <c r="P644" s="638">
        <f t="shared" si="188"/>
        <v>26200</v>
      </c>
      <c r="Q644" s="322">
        <v>4785</v>
      </c>
      <c r="R644" s="90">
        <f t="shared" si="192"/>
        <v>873.33333333333337</v>
      </c>
      <c r="S644" s="324">
        <f t="shared" ref="S644:S707" si="197">SUM(H644,J644,L644,N644)</f>
        <v>25735</v>
      </c>
      <c r="T644" s="638">
        <f t="shared" si="189"/>
        <v>25735</v>
      </c>
      <c r="U644" s="322">
        <v>4798</v>
      </c>
      <c r="V644" s="80">
        <f t="shared" si="193"/>
        <v>857.83333333333337</v>
      </c>
      <c r="W644" s="79">
        <v>43193</v>
      </c>
      <c r="X644" s="322">
        <v>18845</v>
      </c>
      <c r="Y644" s="79">
        <v>34064</v>
      </c>
      <c r="Z644" s="322">
        <v>34349</v>
      </c>
      <c r="AA644" s="79">
        <v>22252</v>
      </c>
      <c r="AB644" s="322">
        <v>25379</v>
      </c>
      <c r="AC644" s="79">
        <v>29834</v>
      </c>
      <c r="AD644" s="322">
        <v>25422</v>
      </c>
      <c r="AE644" s="323">
        <f t="shared" ref="AE644:AE707" si="198">SUM(W644,Y644,AA644,AC644)</f>
        <v>129343</v>
      </c>
      <c r="AF644" s="638">
        <f t="shared" si="190"/>
        <v>0</v>
      </c>
      <c r="AG644" s="639" t="s">
        <v>949</v>
      </c>
      <c r="AH644" s="90">
        <f t="shared" ref="AH644:AH707" si="199">+AE644/900</f>
        <v>143.71444444444444</v>
      </c>
      <c r="AI644" s="80">
        <f t="shared" ref="AI644:AI707" si="200">SUM(X644,Z644,AB644,AD644)</f>
        <v>103995</v>
      </c>
      <c r="AJ644" s="638">
        <f t="shared" si="191"/>
        <v>0</v>
      </c>
      <c r="AK644" s="639" t="s">
        <v>949</v>
      </c>
      <c r="AL644" s="80">
        <f t="shared" ref="AL644:AL707" si="201">+AI644/900</f>
        <v>115.55</v>
      </c>
      <c r="AM644" s="79"/>
      <c r="AN644" s="322"/>
      <c r="AO644" s="79"/>
      <c r="AP644" s="322"/>
      <c r="AQ644" s="79"/>
      <c r="AR644" s="322"/>
      <c r="AS644" s="79"/>
      <c r="AT644" s="322"/>
      <c r="AU644" s="325">
        <f t="shared" ref="AU644:AU707" si="202">SUM(AM644,AO644,AQ644,AS644)</f>
        <v>0</v>
      </c>
      <c r="AV644" s="90">
        <f t="shared" si="194"/>
        <v>0</v>
      </c>
      <c r="AW644" s="324">
        <f t="shared" ref="AW644:AW707" si="203">SUM(AN644,AP644,AR644,AT644)</f>
        <v>0</v>
      </c>
      <c r="AX644" s="80">
        <f t="shared" si="195"/>
        <v>0</v>
      </c>
      <c r="AY644" s="326">
        <f t="shared" ref="AY644:AY707" si="204">SUM(R644,AH644,AV644)</f>
        <v>1017.0477777777778</v>
      </c>
      <c r="AZ644" s="80">
        <f t="shared" ref="AZ644:AZ707" si="205">SUM(V644,AL644,AX644)</f>
        <v>973.38333333333333</v>
      </c>
    </row>
    <row r="645" spans="1:52">
      <c r="A645" s="170" t="s">
        <v>306</v>
      </c>
      <c r="B645" s="170" t="s">
        <v>400</v>
      </c>
      <c r="C645" s="229">
        <v>224961</v>
      </c>
      <c r="D645" s="165">
        <v>10</v>
      </c>
      <c r="E645" s="162" t="s">
        <v>442</v>
      </c>
      <c r="F645" s="163" t="s">
        <v>442</v>
      </c>
      <c r="G645" s="79">
        <v>18301</v>
      </c>
      <c r="H645" s="322">
        <v>17074</v>
      </c>
      <c r="I645" s="79">
        <v>5165</v>
      </c>
      <c r="J645" s="322">
        <v>5350</v>
      </c>
      <c r="K645" s="79">
        <v>1682</v>
      </c>
      <c r="L645" s="322">
        <v>1655</v>
      </c>
      <c r="M645" s="79">
        <v>16129</v>
      </c>
      <c r="N645" s="322">
        <v>17237</v>
      </c>
      <c r="O645" s="323">
        <f t="shared" si="196"/>
        <v>41277</v>
      </c>
      <c r="P645" s="638">
        <f t="shared" ref="P645:P708" si="206">IF(Q645="—",0,O645)</f>
        <v>41277</v>
      </c>
      <c r="Q645" s="322">
        <v>1497</v>
      </c>
      <c r="R645" s="90">
        <f t="shared" si="192"/>
        <v>1375.9</v>
      </c>
      <c r="S645" s="324">
        <f t="shared" si="197"/>
        <v>41316</v>
      </c>
      <c r="T645" s="638">
        <f t="shared" ref="T645:T708" si="207">IF(U645="—",0,S645)</f>
        <v>41316</v>
      </c>
      <c r="U645" s="322">
        <v>2274</v>
      </c>
      <c r="V645" s="80">
        <f t="shared" si="193"/>
        <v>1377.2</v>
      </c>
      <c r="W645" s="79">
        <v>13700</v>
      </c>
      <c r="X645" s="322">
        <v>13253</v>
      </c>
      <c r="Y645" s="79">
        <v>4882</v>
      </c>
      <c r="Z645" s="322">
        <v>5535</v>
      </c>
      <c r="AA645" s="79">
        <v>7650</v>
      </c>
      <c r="AB645" s="322">
        <v>3350</v>
      </c>
      <c r="AC645" s="79">
        <v>12171</v>
      </c>
      <c r="AD645" s="322">
        <v>3840</v>
      </c>
      <c r="AE645" s="323">
        <f t="shared" si="198"/>
        <v>38403</v>
      </c>
      <c r="AF645" s="638">
        <f t="shared" ref="AF645:AF708" si="208">IF(AG645="—",0,AE645)</f>
        <v>0</v>
      </c>
      <c r="AG645" s="639" t="s">
        <v>949</v>
      </c>
      <c r="AH645" s="90">
        <f t="shared" si="199"/>
        <v>42.67</v>
      </c>
      <c r="AI645" s="80">
        <f t="shared" si="200"/>
        <v>25978</v>
      </c>
      <c r="AJ645" s="638">
        <f t="shared" ref="AJ645:AJ708" si="209">IF(AK645="—",0,AI645)</f>
        <v>0</v>
      </c>
      <c r="AK645" s="639" t="s">
        <v>949</v>
      </c>
      <c r="AL645" s="80">
        <f t="shared" si="201"/>
        <v>28.864444444444445</v>
      </c>
      <c r="AM645" s="79"/>
      <c r="AN645" s="322"/>
      <c r="AO645" s="79"/>
      <c r="AP645" s="322"/>
      <c r="AQ645" s="79"/>
      <c r="AR645" s="322"/>
      <c r="AS645" s="79"/>
      <c r="AT645" s="322"/>
      <c r="AU645" s="325">
        <f t="shared" si="202"/>
        <v>0</v>
      </c>
      <c r="AV645" s="90">
        <f t="shared" si="194"/>
        <v>0</v>
      </c>
      <c r="AW645" s="324">
        <f t="shared" si="203"/>
        <v>0</v>
      </c>
      <c r="AX645" s="80">
        <f t="shared" si="195"/>
        <v>0</v>
      </c>
      <c r="AY645" s="326">
        <f t="shared" si="204"/>
        <v>1418.5700000000002</v>
      </c>
      <c r="AZ645" s="80">
        <f t="shared" si="205"/>
        <v>1406.0644444444445</v>
      </c>
    </row>
    <row r="646" spans="1:52">
      <c r="A646" s="170" t="s">
        <v>306</v>
      </c>
      <c r="B646" s="170" t="s">
        <v>401</v>
      </c>
      <c r="C646" s="229">
        <v>226107</v>
      </c>
      <c r="D646" s="165">
        <v>10</v>
      </c>
      <c r="E646" s="162" t="s">
        <v>442</v>
      </c>
      <c r="F646" s="163" t="s">
        <v>442</v>
      </c>
      <c r="G646" s="79">
        <v>17229</v>
      </c>
      <c r="H646" s="322">
        <v>17643</v>
      </c>
      <c r="I646" s="79">
        <v>4109</v>
      </c>
      <c r="J646" s="322">
        <v>4179</v>
      </c>
      <c r="K646" s="79">
        <v>1169</v>
      </c>
      <c r="L646" s="322">
        <v>1424</v>
      </c>
      <c r="M646" s="79">
        <v>18908</v>
      </c>
      <c r="N646" s="322">
        <v>20118</v>
      </c>
      <c r="O646" s="323">
        <f t="shared" si="196"/>
        <v>41415</v>
      </c>
      <c r="P646" s="638">
        <f t="shared" si="206"/>
        <v>41415</v>
      </c>
      <c r="Q646" s="322">
        <v>1773</v>
      </c>
      <c r="R646" s="90">
        <f t="shared" si="192"/>
        <v>1380.5</v>
      </c>
      <c r="S646" s="324">
        <f t="shared" si="197"/>
        <v>43364</v>
      </c>
      <c r="T646" s="638">
        <f t="shared" si="207"/>
        <v>43364</v>
      </c>
      <c r="U646" s="322">
        <v>2382</v>
      </c>
      <c r="V646" s="80">
        <f t="shared" si="193"/>
        <v>1445.4666666666667</v>
      </c>
      <c r="W646" s="79">
        <v>4088</v>
      </c>
      <c r="X646" s="322">
        <v>18826</v>
      </c>
      <c r="Y646" s="79">
        <v>2852</v>
      </c>
      <c r="Z646" s="322">
        <v>12088</v>
      </c>
      <c r="AA646" s="79">
        <v>27732</v>
      </c>
      <c r="AB646" s="322">
        <v>10198</v>
      </c>
      <c r="AC646" s="79">
        <v>13136</v>
      </c>
      <c r="AD646" s="322">
        <v>898</v>
      </c>
      <c r="AE646" s="323">
        <f t="shared" si="198"/>
        <v>47808</v>
      </c>
      <c r="AF646" s="638">
        <f t="shared" si="208"/>
        <v>0</v>
      </c>
      <c r="AG646" s="639" t="s">
        <v>949</v>
      </c>
      <c r="AH646" s="90">
        <f t="shared" si="199"/>
        <v>53.12</v>
      </c>
      <c r="AI646" s="80">
        <f t="shared" si="200"/>
        <v>42010</v>
      </c>
      <c r="AJ646" s="638">
        <f t="shared" si="209"/>
        <v>0</v>
      </c>
      <c r="AK646" s="639" t="s">
        <v>949</v>
      </c>
      <c r="AL646" s="80">
        <f t="shared" si="201"/>
        <v>46.677777777777777</v>
      </c>
      <c r="AM646" s="79"/>
      <c r="AN646" s="322"/>
      <c r="AO646" s="79"/>
      <c r="AP646" s="322"/>
      <c r="AQ646" s="79"/>
      <c r="AR646" s="322"/>
      <c r="AS646" s="79"/>
      <c r="AT646" s="322"/>
      <c r="AU646" s="325">
        <f t="shared" si="202"/>
        <v>0</v>
      </c>
      <c r="AV646" s="90">
        <f t="shared" si="194"/>
        <v>0</v>
      </c>
      <c r="AW646" s="324">
        <f t="shared" si="203"/>
        <v>0</v>
      </c>
      <c r="AX646" s="80">
        <f t="shared" si="195"/>
        <v>0</v>
      </c>
      <c r="AY646" s="326">
        <f t="shared" si="204"/>
        <v>1433.62</v>
      </c>
      <c r="AZ646" s="80">
        <f t="shared" si="205"/>
        <v>1492.1444444444444</v>
      </c>
    </row>
    <row r="647" spans="1:52">
      <c r="A647" s="170" t="s">
        <v>306</v>
      </c>
      <c r="B647" s="170" t="s">
        <v>380</v>
      </c>
      <c r="C647" s="229">
        <v>226116</v>
      </c>
      <c r="D647" s="165">
        <v>10</v>
      </c>
      <c r="E647" s="162" t="s">
        <v>442</v>
      </c>
      <c r="F647" s="163" t="s">
        <v>442</v>
      </c>
      <c r="G647" s="79">
        <v>19787</v>
      </c>
      <c r="H647" s="322">
        <v>18514</v>
      </c>
      <c r="I647" s="79">
        <v>2352</v>
      </c>
      <c r="J647" s="322">
        <v>2239</v>
      </c>
      <c r="K647" s="79">
        <v>3860</v>
      </c>
      <c r="L647" s="322">
        <v>3428</v>
      </c>
      <c r="M647" s="79">
        <v>20812</v>
      </c>
      <c r="N647" s="322">
        <v>18132</v>
      </c>
      <c r="O647" s="323">
        <f t="shared" si="196"/>
        <v>46811</v>
      </c>
      <c r="P647" s="638">
        <f t="shared" si="206"/>
        <v>46811</v>
      </c>
      <c r="Q647" s="322">
        <v>1995</v>
      </c>
      <c r="R647" s="90">
        <f t="shared" si="192"/>
        <v>1560.3666666666666</v>
      </c>
      <c r="S647" s="324">
        <f t="shared" si="197"/>
        <v>42313</v>
      </c>
      <c r="T647" s="638">
        <f t="shared" si="207"/>
        <v>42313</v>
      </c>
      <c r="U647" s="322">
        <v>2408</v>
      </c>
      <c r="V647" s="80">
        <f t="shared" si="193"/>
        <v>1410.4333333333334</v>
      </c>
      <c r="W647" s="79">
        <v>81208</v>
      </c>
      <c r="X647" s="322">
        <v>85364</v>
      </c>
      <c r="Y647" s="79">
        <v>68288</v>
      </c>
      <c r="Z647" s="322">
        <v>64544</v>
      </c>
      <c r="AA647" s="79">
        <v>95531</v>
      </c>
      <c r="AB647" s="322">
        <v>94796</v>
      </c>
      <c r="AC647" s="79">
        <v>66764</v>
      </c>
      <c r="AD647" s="322">
        <v>60903</v>
      </c>
      <c r="AE647" s="323">
        <f t="shared" si="198"/>
        <v>311791</v>
      </c>
      <c r="AF647" s="638">
        <f t="shared" si="208"/>
        <v>0</v>
      </c>
      <c r="AG647" s="639" t="s">
        <v>949</v>
      </c>
      <c r="AH647" s="90">
        <f t="shared" si="199"/>
        <v>346.43444444444447</v>
      </c>
      <c r="AI647" s="80">
        <f t="shared" si="200"/>
        <v>305607</v>
      </c>
      <c r="AJ647" s="638">
        <f t="shared" si="209"/>
        <v>0</v>
      </c>
      <c r="AK647" s="639" t="s">
        <v>949</v>
      </c>
      <c r="AL647" s="80">
        <f t="shared" si="201"/>
        <v>339.56333333333333</v>
      </c>
      <c r="AM647" s="79"/>
      <c r="AN647" s="322"/>
      <c r="AO647" s="79"/>
      <c r="AP647" s="322"/>
      <c r="AQ647" s="79"/>
      <c r="AR647" s="322"/>
      <c r="AS647" s="79"/>
      <c r="AT647" s="322"/>
      <c r="AU647" s="325">
        <f t="shared" si="202"/>
        <v>0</v>
      </c>
      <c r="AV647" s="90">
        <f t="shared" si="194"/>
        <v>0</v>
      </c>
      <c r="AW647" s="324">
        <f t="shared" si="203"/>
        <v>0</v>
      </c>
      <c r="AX647" s="80">
        <f t="shared" si="195"/>
        <v>0</v>
      </c>
      <c r="AY647" s="326">
        <f t="shared" si="204"/>
        <v>1906.8011111111109</v>
      </c>
      <c r="AZ647" s="80">
        <f t="shared" si="205"/>
        <v>1749.9966666666667</v>
      </c>
    </row>
    <row r="648" spans="1:52">
      <c r="A648" s="170" t="s">
        <v>306</v>
      </c>
      <c r="B648" s="216" t="s">
        <v>414</v>
      </c>
      <c r="C648" s="234"/>
      <c r="D648" s="165">
        <v>10</v>
      </c>
      <c r="E648" s="162" t="s">
        <v>442</v>
      </c>
      <c r="F648" s="163" t="s">
        <v>442</v>
      </c>
      <c r="G648" s="79"/>
      <c r="H648" s="322">
        <v>1527</v>
      </c>
      <c r="I648" s="79"/>
      <c r="J648" s="322">
        <v>763</v>
      </c>
      <c r="K648" s="79"/>
      <c r="L648" s="322">
        <v>689</v>
      </c>
      <c r="M648" s="79">
        <v>895</v>
      </c>
      <c r="N648" s="322">
        <v>3836</v>
      </c>
      <c r="O648" s="323">
        <f t="shared" si="196"/>
        <v>895</v>
      </c>
      <c r="P648" s="638">
        <f t="shared" si="206"/>
        <v>895</v>
      </c>
      <c r="Q648" s="322">
        <v>0</v>
      </c>
      <c r="R648" s="90">
        <f t="shared" si="192"/>
        <v>29.833333333333332</v>
      </c>
      <c r="S648" s="324">
        <f t="shared" si="197"/>
        <v>6815</v>
      </c>
      <c r="T648" s="638">
        <f t="shared" si="207"/>
        <v>6815</v>
      </c>
      <c r="U648" s="322">
        <v>13</v>
      </c>
      <c r="V648" s="80">
        <f t="shared" si="193"/>
        <v>227.16666666666666</v>
      </c>
      <c r="W648" s="79"/>
      <c r="X648" s="322">
        <v>0</v>
      </c>
      <c r="Y648" s="79"/>
      <c r="Z648" s="322">
        <v>0</v>
      </c>
      <c r="AA648" s="79"/>
      <c r="AB648" s="322">
        <v>0</v>
      </c>
      <c r="AC648" s="79"/>
      <c r="AD648" s="322">
        <v>0</v>
      </c>
      <c r="AE648" s="323">
        <f t="shared" si="198"/>
        <v>0</v>
      </c>
      <c r="AF648" s="638">
        <f t="shared" si="208"/>
        <v>0</v>
      </c>
      <c r="AG648" s="639" t="s">
        <v>949</v>
      </c>
      <c r="AH648" s="90">
        <f t="shared" si="199"/>
        <v>0</v>
      </c>
      <c r="AI648" s="80">
        <f t="shared" si="200"/>
        <v>0</v>
      </c>
      <c r="AJ648" s="638">
        <f t="shared" si="209"/>
        <v>0</v>
      </c>
      <c r="AK648" s="639" t="s">
        <v>949</v>
      </c>
      <c r="AL648" s="80">
        <f t="shared" si="201"/>
        <v>0</v>
      </c>
      <c r="AM648" s="79"/>
      <c r="AN648" s="322"/>
      <c r="AO648" s="79"/>
      <c r="AP648" s="322"/>
      <c r="AQ648" s="79"/>
      <c r="AR648" s="322"/>
      <c r="AS648" s="79"/>
      <c r="AT648" s="322"/>
      <c r="AU648" s="325">
        <f t="shared" si="202"/>
        <v>0</v>
      </c>
      <c r="AV648" s="90">
        <f t="shared" si="194"/>
        <v>0</v>
      </c>
      <c r="AW648" s="324">
        <f t="shared" si="203"/>
        <v>0</v>
      </c>
      <c r="AX648" s="80">
        <f t="shared" si="195"/>
        <v>0</v>
      </c>
      <c r="AY648" s="326">
        <f t="shared" si="204"/>
        <v>29.833333333333332</v>
      </c>
      <c r="AZ648" s="80">
        <f t="shared" si="205"/>
        <v>227.16666666666666</v>
      </c>
    </row>
    <row r="649" spans="1:52">
      <c r="A649" s="170" t="s">
        <v>306</v>
      </c>
      <c r="B649" s="170" t="s">
        <v>402</v>
      </c>
      <c r="C649" s="229">
        <v>227225</v>
      </c>
      <c r="D649" s="165">
        <v>10</v>
      </c>
      <c r="E649" s="162" t="s">
        <v>442</v>
      </c>
      <c r="F649" s="163" t="s">
        <v>442</v>
      </c>
      <c r="G649" s="79">
        <v>21924</v>
      </c>
      <c r="H649" s="322">
        <v>21364</v>
      </c>
      <c r="I649" s="79">
        <v>5296</v>
      </c>
      <c r="J649" s="322">
        <v>6416</v>
      </c>
      <c r="K649" s="79">
        <v>2426</v>
      </c>
      <c r="L649" s="322">
        <v>2581</v>
      </c>
      <c r="M649" s="79">
        <v>22588</v>
      </c>
      <c r="N649" s="322">
        <v>23640</v>
      </c>
      <c r="O649" s="323">
        <f t="shared" si="196"/>
        <v>52234</v>
      </c>
      <c r="P649" s="638">
        <f t="shared" si="206"/>
        <v>52234</v>
      </c>
      <c r="Q649" s="322">
        <v>426</v>
      </c>
      <c r="R649" s="90">
        <f t="shared" si="192"/>
        <v>1741.1333333333334</v>
      </c>
      <c r="S649" s="324">
        <f t="shared" si="197"/>
        <v>54001</v>
      </c>
      <c r="T649" s="638">
        <f t="shared" si="207"/>
        <v>54001</v>
      </c>
      <c r="U649" s="322">
        <v>906</v>
      </c>
      <c r="V649" s="80">
        <f t="shared" si="193"/>
        <v>1800.0333333333333</v>
      </c>
      <c r="W649" s="79">
        <v>8764</v>
      </c>
      <c r="X649" s="322">
        <v>6844</v>
      </c>
      <c r="Y649" s="79">
        <v>14065</v>
      </c>
      <c r="Z649" s="322">
        <v>10808</v>
      </c>
      <c r="AA649" s="79">
        <v>5865</v>
      </c>
      <c r="AB649" s="322">
        <v>6062</v>
      </c>
      <c r="AC649" s="79">
        <v>3854</v>
      </c>
      <c r="AD649" s="322">
        <v>5709</v>
      </c>
      <c r="AE649" s="323">
        <f t="shared" si="198"/>
        <v>32548</v>
      </c>
      <c r="AF649" s="638">
        <f t="shared" si="208"/>
        <v>0</v>
      </c>
      <c r="AG649" s="639" t="s">
        <v>949</v>
      </c>
      <c r="AH649" s="90">
        <f t="shared" si="199"/>
        <v>36.164444444444442</v>
      </c>
      <c r="AI649" s="80">
        <f t="shared" si="200"/>
        <v>29423</v>
      </c>
      <c r="AJ649" s="638">
        <f t="shared" si="209"/>
        <v>0</v>
      </c>
      <c r="AK649" s="639" t="s">
        <v>949</v>
      </c>
      <c r="AL649" s="80">
        <f t="shared" si="201"/>
        <v>32.69222222222222</v>
      </c>
      <c r="AM649" s="79"/>
      <c r="AN649" s="322"/>
      <c r="AO649" s="79"/>
      <c r="AP649" s="322"/>
      <c r="AQ649" s="79"/>
      <c r="AR649" s="322"/>
      <c r="AS649" s="79"/>
      <c r="AT649" s="322"/>
      <c r="AU649" s="325">
        <f t="shared" si="202"/>
        <v>0</v>
      </c>
      <c r="AV649" s="90">
        <f t="shared" si="194"/>
        <v>0</v>
      </c>
      <c r="AW649" s="324">
        <f t="shared" si="203"/>
        <v>0</v>
      </c>
      <c r="AX649" s="80">
        <f t="shared" si="195"/>
        <v>0</v>
      </c>
      <c r="AY649" s="326">
        <f t="shared" si="204"/>
        <v>1777.2977777777778</v>
      </c>
      <c r="AZ649" s="80">
        <f t="shared" si="205"/>
        <v>1832.7255555555555</v>
      </c>
    </row>
    <row r="650" spans="1:52">
      <c r="A650" s="170" t="s">
        <v>306</v>
      </c>
      <c r="B650" s="170" t="s">
        <v>403</v>
      </c>
      <c r="C650" s="229">
        <v>227386</v>
      </c>
      <c r="D650" s="165">
        <v>10</v>
      </c>
      <c r="E650" s="162" t="s">
        <v>442</v>
      </c>
      <c r="F650" s="163" t="s">
        <v>442</v>
      </c>
      <c r="G650" s="79">
        <v>17158</v>
      </c>
      <c r="H650" s="322">
        <v>17305</v>
      </c>
      <c r="I650" s="79">
        <v>3818</v>
      </c>
      <c r="J650" s="322">
        <v>3948</v>
      </c>
      <c r="K650" s="79">
        <v>1263</v>
      </c>
      <c r="L650" s="322">
        <v>1187</v>
      </c>
      <c r="M650" s="79">
        <v>18289</v>
      </c>
      <c r="N650" s="322">
        <v>19200</v>
      </c>
      <c r="O650" s="323">
        <f t="shared" si="196"/>
        <v>40528</v>
      </c>
      <c r="P650" s="638">
        <f t="shared" si="206"/>
        <v>40528</v>
      </c>
      <c r="Q650" s="322">
        <v>3178</v>
      </c>
      <c r="R650" s="90">
        <f t="shared" si="192"/>
        <v>1350.9333333333334</v>
      </c>
      <c r="S650" s="324">
        <f t="shared" si="197"/>
        <v>41640</v>
      </c>
      <c r="T650" s="638">
        <f t="shared" si="207"/>
        <v>41640</v>
      </c>
      <c r="U650" s="322">
        <v>3202</v>
      </c>
      <c r="V650" s="80">
        <f t="shared" si="193"/>
        <v>1388</v>
      </c>
      <c r="W650" s="79">
        <v>11649</v>
      </c>
      <c r="X650" s="322">
        <v>6770</v>
      </c>
      <c r="Y650" s="79">
        <v>13729</v>
      </c>
      <c r="Z650" s="322">
        <v>11371</v>
      </c>
      <c r="AA650" s="79">
        <v>11131</v>
      </c>
      <c r="AB650" s="322">
        <v>12569</v>
      </c>
      <c r="AC650" s="79">
        <v>9289</v>
      </c>
      <c r="AD650" s="322">
        <v>17430</v>
      </c>
      <c r="AE650" s="323">
        <f t="shared" si="198"/>
        <v>45798</v>
      </c>
      <c r="AF650" s="638">
        <f t="shared" si="208"/>
        <v>0</v>
      </c>
      <c r="AG650" s="639" t="s">
        <v>949</v>
      </c>
      <c r="AH650" s="90">
        <f t="shared" si="199"/>
        <v>50.886666666666663</v>
      </c>
      <c r="AI650" s="80">
        <f t="shared" si="200"/>
        <v>48140</v>
      </c>
      <c r="AJ650" s="638">
        <f t="shared" si="209"/>
        <v>0</v>
      </c>
      <c r="AK650" s="639" t="s">
        <v>949</v>
      </c>
      <c r="AL650" s="80">
        <f t="shared" si="201"/>
        <v>53.488888888888887</v>
      </c>
      <c r="AM650" s="79"/>
      <c r="AN650" s="322"/>
      <c r="AO650" s="79"/>
      <c r="AP650" s="322"/>
      <c r="AQ650" s="79"/>
      <c r="AR650" s="322"/>
      <c r="AS650" s="79"/>
      <c r="AT650" s="322"/>
      <c r="AU650" s="325">
        <f t="shared" si="202"/>
        <v>0</v>
      </c>
      <c r="AV650" s="90">
        <f t="shared" si="194"/>
        <v>0</v>
      </c>
      <c r="AW650" s="324">
        <f t="shared" si="203"/>
        <v>0</v>
      </c>
      <c r="AX650" s="80">
        <f t="shared" si="195"/>
        <v>0</v>
      </c>
      <c r="AY650" s="326">
        <f t="shared" si="204"/>
        <v>1401.8200000000002</v>
      </c>
      <c r="AZ650" s="80">
        <f t="shared" si="205"/>
        <v>1441.4888888888888</v>
      </c>
    </row>
    <row r="651" spans="1:52">
      <c r="A651" s="170" t="s">
        <v>306</v>
      </c>
      <c r="B651" s="170" t="s">
        <v>404</v>
      </c>
      <c r="C651" s="229">
        <v>227687</v>
      </c>
      <c r="D651" s="165">
        <v>10</v>
      </c>
      <c r="E651" s="162" t="s">
        <v>442</v>
      </c>
      <c r="F651" s="163" t="s">
        <v>442</v>
      </c>
      <c r="G651" s="79">
        <v>7328</v>
      </c>
      <c r="H651" s="322">
        <v>7283</v>
      </c>
      <c r="I651" s="79">
        <v>1399</v>
      </c>
      <c r="J651" s="322">
        <v>1170</v>
      </c>
      <c r="K651" s="79">
        <v>585</v>
      </c>
      <c r="L651" s="322">
        <v>396</v>
      </c>
      <c r="M651" s="79">
        <v>9389</v>
      </c>
      <c r="N651" s="322">
        <v>10033</v>
      </c>
      <c r="O651" s="323">
        <f t="shared" si="196"/>
        <v>18701</v>
      </c>
      <c r="P651" s="638">
        <f t="shared" si="206"/>
        <v>18701</v>
      </c>
      <c r="Q651" s="322">
        <v>2939</v>
      </c>
      <c r="R651" s="90">
        <f t="shared" si="192"/>
        <v>623.36666666666667</v>
      </c>
      <c r="S651" s="324">
        <f t="shared" si="197"/>
        <v>18882</v>
      </c>
      <c r="T651" s="638">
        <f t="shared" si="207"/>
        <v>18882</v>
      </c>
      <c r="U651" s="322">
        <v>2816</v>
      </c>
      <c r="V651" s="80">
        <f t="shared" si="193"/>
        <v>629.4</v>
      </c>
      <c r="W651" s="79">
        <v>2741</v>
      </c>
      <c r="X651" s="322">
        <v>215</v>
      </c>
      <c r="Y651" s="79">
        <v>1564</v>
      </c>
      <c r="Z651" s="322">
        <v>2356</v>
      </c>
      <c r="AA651" s="79">
        <v>154</v>
      </c>
      <c r="AB651" s="322">
        <v>1764</v>
      </c>
      <c r="AC651" s="79">
        <v>2941</v>
      </c>
      <c r="AD651" s="322">
        <v>161</v>
      </c>
      <c r="AE651" s="323">
        <f t="shared" si="198"/>
        <v>7400</v>
      </c>
      <c r="AF651" s="638">
        <f t="shared" si="208"/>
        <v>0</v>
      </c>
      <c r="AG651" s="639" t="s">
        <v>949</v>
      </c>
      <c r="AH651" s="90">
        <f t="shared" si="199"/>
        <v>8.2222222222222214</v>
      </c>
      <c r="AI651" s="80">
        <f t="shared" si="200"/>
        <v>4496</v>
      </c>
      <c r="AJ651" s="638">
        <f t="shared" si="209"/>
        <v>0</v>
      </c>
      <c r="AK651" s="639" t="s">
        <v>949</v>
      </c>
      <c r="AL651" s="80">
        <f t="shared" si="201"/>
        <v>4.9955555555555557</v>
      </c>
      <c r="AM651" s="79"/>
      <c r="AN651" s="322"/>
      <c r="AO651" s="79"/>
      <c r="AP651" s="322"/>
      <c r="AQ651" s="79"/>
      <c r="AR651" s="322"/>
      <c r="AS651" s="79"/>
      <c r="AT651" s="322"/>
      <c r="AU651" s="325">
        <f t="shared" si="202"/>
        <v>0</v>
      </c>
      <c r="AV651" s="90">
        <f t="shared" si="194"/>
        <v>0</v>
      </c>
      <c r="AW651" s="324">
        <f t="shared" si="203"/>
        <v>0</v>
      </c>
      <c r="AX651" s="80">
        <f t="shared" si="195"/>
        <v>0</v>
      </c>
      <c r="AY651" s="326">
        <f t="shared" si="204"/>
        <v>631.58888888888885</v>
      </c>
      <c r="AZ651" s="80">
        <f t="shared" si="205"/>
        <v>634.39555555555557</v>
      </c>
    </row>
    <row r="652" spans="1:52">
      <c r="A652" s="170" t="s">
        <v>306</v>
      </c>
      <c r="B652" s="217" t="s">
        <v>405</v>
      </c>
      <c r="C652" s="229">
        <v>382911</v>
      </c>
      <c r="D652" s="168">
        <v>10</v>
      </c>
      <c r="E652" s="162" t="s">
        <v>442</v>
      </c>
      <c r="F652" s="163" t="s">
        <v>442</v>
      </c>
      <c r="G652" s="79">
        <v>995</v>
      </c>
      <c r="H652" s="322">
        <v>1011</v>
      </c>
      <c r="I652" s="79"/>
      <c r="J652" s="322">
        <v>0</v>
      </c>
      <c r="K652" s="79"/>
      <c r="L652" s="322">
        <v>0</v>
      </c>
      <c r="M652" s="79">
        <v>1186</v>
      </c>
      <c r="N652" s="322">
        <v>1072</v>
      </c>
      <c r="O652" s="323">
        <f t="shared" si="196"/>
        <v>2181</v>
      </c>
      <c r="P652" s="638">
        <f t="shared" si="206"/>
        <v>2181</v>
      </c>
      <c r="Q652" s="322">
        <v>0</v>
      </c>
      <c r="R652" s="90">
        <f t="shared" si="192"/>
        <v>72.7</v>
      </c>
      <c r="S652" s="324">
        <f t="shared" si="197"/>
        <v>2083</v>
      </c>
      <c r="T652" s="638">
        <f t="shared" si="207"/>
        <v>2083</v>
      </c>
      <c r="U652" s="322">
        <v>0</v>
      </c>
      <c r="V652" s="80">
        <f t="shared" si="193"/>
        <v>69.433333333333337</v>
      </c>
      <c r="W652" s="79"/>
      <c r="X652" s="322">
        <v>0</v>
      </c>
      <c r="Y652" s="79"/>
      <c r="Z652" s="322">
        <v>0</v>
      </c>
      <c r="AA652" s="79"/>
      <c r="AB652" s="322">
        <v>0</v>
      </c>
      <c r="AC652" s="79"/>
      <c r="AD652" s="322">
        <v>0</v>
      </c>
      <c r="AE652" s="323">
        <f t="shared" si="198"/>
        <v>0</v>
      </c>
      <c r="AF652" s="638">
        <f t="shared" si="208"/>
        <v>0</v>
      </c>
      <c r="AG652" s="639" t="s">
        <v>949</v>
      </c>
      <c r="AH652" s="90">
        <f t="shared" si="199"/>
        <v>0</v>
      </c>
      <c r="AI652" s="80">
        <f t="shared" si="200"/>
        <v>0</v>
      </c>
      <c r="AJ652" s="638">
        <f t="shared" si="209"/>
        <v>0</v>
      </c>
      <c r="AK652" s="639" t="s">
        <v>949</v>
      </c>
      <c r="AL652" s="80">
        <f t="shared" si="201"/>
        <v>0</v>
      </c>
      <c r="AM652" s="79"/>
      <c r="AN652" s="322"/>
      <c r="AO652" s="79"/>
      <c r="AP652" s="322"/>
      <c r="AQ652" s="79"/>
      <c r="AR652" s="322"/>
      <c r="AS652" s="79"/>
      <c r="AT652" s="322"/>
      <c r="AU652" s="325">
        <f t="shared" si="202"/>
        <v>0</v>
      </c>
      <c r="AV652" s="90">
        <f t="shared" si="194"/>
        <v>0</v>
      </c>
      <c r="AW652" s="324">
        <f t="shared" si="203"/>
        <v>0</v>
      </c>
      <c r="AX652" s="80">
        <f t="shared" si="195"/>
        <v>0</v>
      </c>
      <c r="AY652" s="326">
        <f t="shared" si="204"/>
        <v>72.7</v>
      </c>
      <c r="AZ652" s="80">
        <f t="shared" si="205"/>
        <v>69.433333333333337</v>
      </c>
    </row>
    <row r="653" spans="1:52">
      <c r="A653" s="170" t="s">
        <v>306</v>
      </c>
      <c r="B653" s="170" t="s">
        <v>406</v>
      </c>
      <c r="C653" s="230">
        <v>408394</v>
      </c>
      <c r="D653" s="165">
        <v>10</v>
      </c>
      <c r="E653" s="162" t="s">
        <v>442</v>
      </c>
      <c r="F653" s="163" t="s">
        <v>442</v>
      </c>
      <c r="G653" s="79">
        <v>5228</v>
      </c>
      <c r="H653" s="322">
        <v>6166</v>
      </c>
      <c r="I653" s="79">
        <v>3034</v>
      </c>
      <c r="J653" s="322">
        <v>4064</v>
      </c>
      <c r="K653" s="79"/>
      <c r="L653" s="322">
        <v>0</v>
      </c>
      <c r="M653" s="79">
        <v>6381</v>
      </c>
      <c r="N653" s="322">
        <v>7644</v>
      </c>
      <c r="O653" s="323">
        <f t="shared" si="196"/>
        <v>14643</v>
      </c>
      <c r="P653" s="638">
        <f t="shared" si="206"/>
        <v>14643</v>
      </c>
      <c r="Q653" s="322">
        <v>1410</v>
      </c>
      <c r="R653" s="90">
        <f t="shared" si="192"/>
        <v>488.1</v>
      </c>
      <c r="S653" s="324">
        <f t="shared" si="197"/>
        <v>17874</v>
      </c>
      <c r="T653" s="638">
        <f t="shared" si="207"/>
        <v>17874</v>
      </c>
      <c r="U653" s="322">
        <v>2520</v>
      </c>
      <c r="V653" s="80">
        <f t="shared" si="193"/>
        <v>595.79999999999995</v>
      </c>
      <c r="W653" s="79">
        <v>3716</v>
      </c>
      <c r="X653" s="322">
        <v>7512</v>
      </c>
      <c r="Y653" s="79">
        <v>7200</v>
      </c>
      <c r="Z653" s="322">
        <v>10156</v>
      </c>
      <c r="AA653" s="79">
        <v>4823</v>
      </c>
      <c r="AB653" s="322">
        <v>5532</v>
      </c>
      <c r="AC653" s="79">
        <v>4646</v>
      </c>
      <c r="AD653" s="322">
        <v>6310</v>
      </c>
      <c r="AE653" s="323">
        <f t="shared" si="198"/>
        <v>20385</v>
      </c>
      <c r="AF653" s="638">
        <f t="shared" si="208"/>
        <v>0</v>
      </c>
      <c r="AG653" s="639" t="s">
        <v>949</v>
      </c>
      <c r="AH653" s="90">
        <f t="shared" si="199"/>
        <v>22.65</v>
      </c>
      <c r="AI653" s="80">
        <f t="shared" si="200"/>
        <v>29510</v>
      </c>
      <c r="AJ653" s="638">
        <f t="shared" si="209"/>
        <v>0</v>
      </c>
      <c r="AK653" s="639" t="s">
        <v>949</v>
      </c>
      <c r="AL653" s="80">
        <f t="shared" si="201"/>
        <v>32.788888888888891</v>
      </c>
      <c r="AM653" s="79"/>
      <c r="AN653" s="322"/>
      <c r="AO653" s="79"/>
      <c r="AP653" s="322"/>
      <c r="AQ653" s="79"/>
      <c r="AR653" s="322"/>
      <c r="AS653" s="79"/>
      <c r="AT653" s="322"/>
      <c r="AU653" s="325">
        <f t="shared" si="202"/>
        <v>0</v>
      </c>
      <c r="AV653" s="90">
        <f t="shared" si="194"/>
        <v>0</v>
      </c>
      <c r="AW653" s="324">
        <f t="shared" si="203"/>
        <v>0</v>
      </c>
      <c r="AX653" s="80">
        <f t="shared" si="195"/>
        <v>0</v>
      </c>
      <c r="AY653" s="326">
        <f t="shared" si="204"/>
        <v>510.75</v>
      </c>
      <c r="AZ653" s="80">
        <f t="shared" si="205"/>
        <v>628.58888888888885</v>
      </c>
    </row>
    <row r="654" spans="1:52">
      <c r="A654" s="170" t="s">
        <v>306</v>
      </c>
      <c r="B654" s="170" t="s">
        <v>407</v>
      </c>
      <c r="C654" s="229">
        <v>229328</v>
      </c>
      <c r="D654" s="165">
        <v>10</v>
      </c>
      <c r="E654" s="162" t="s">
        <v>442</v>
      </c>
      <c r="F654" s="163" t="s">
        <v>442</v>
      </c>
      <c r="G654" s="79">
        <v>14441</v>
      </c>
      <c r="H654" s="322">
        <v>14505</v>
      </c>
      <c r="I654" s="79">
        <v>11701</v>
      </c>
      <c r="J654" s="322">
        <v>12792</v>
      </c>
      <c r="K654" s="79"/>
      <c r="L654" s="322">
        <v>0</v>
      </c>
      <c r="M654" s="79">
        <v>12152</v>
      </c>
      <c r="N654" s="322">
        <v>15670</v>
      </c>
      <c r="O654" s="323">
        <f t="shared" si="196"/>
        <v>38294</v>
      </c>
      <c r="P654" s="638">
        <f t="shared" si="206"/>
        <v>38294</v>
      </c>
      <c r="Q654" s="322">
        <v>2462</v>
      </c>
      <c r="R654" s="90">
        <f t="shared" si="192"/>
        <v>1276.4666666666667</v>
      </c>
      <c r="S654" s="324">
        <f t="shared" si="197"/>
        <v>42967</v>
      </c>
      <c r="T654" s="638">
        <f t="shared" si="207"/>
        <v>42967</v>
      </c>
      <c r="U654" s="322">
        <v>3975</v>
      </c>
      <c r="V654" s="80">
        <f t="shared" si="193"/>
        <v>1432.2333333333333</v>
      </c>
      <c r="W654" s="79">
        <v>92384</v>
      </c>
      <c r="X654" s="322">
        <v>56447</v>
      </c>
      <c r="Y654" s="79">
        <v>124064</v>
      </c>
      <c r="Z654" s="322">
        <v>112373</v>
      </c>
      <c r="AA654" s="79">
        <v>69034</v>
      </c>
      <c r="AB654" s="322">
        <v>107082</v>
      </c>
      <c r="AC654" s="79">
        <v>55272</v>
      </c>
      <c r="AD654" s="322">
        <v>21241</v>
      </c>
      <c r="AE654" s="323">
        <f t="shared" si="198"/>
        <v>340754</v>
      </c>
      <c r="AF654" s="638">
        <f t="shared" si="208"/>
        <v>0</v>
      </c>
      <c r="AG654" s="639" t="s">
        <v>949</v>
      </c>
      <c r="AH654" s="90">
        <f t="shared" si="199"/>
        <v>378.61555555555555</v>
      </c>
      <c r="AI654" s="80">
        <f t="shared" si="200"/>
        <v>297143</v>
      </c>
      <c r="AJ654" s="638">
        <f t="shared" si="209"/>
        <v>0</v>
      </c>
      <c r="AK654" s="639" t="s">
        <v>949</v>
      </c>
      <c r="AL654" s="80">
        <f t="shared" si="201"/>
        <v>330.1588888888889</v>
      </c>
      <c r="AM654" s="79"/>
      <c r="AN654" s="322"/>
      <c r="AO654" s="79"/>
      <c r="AP654" s="322"/>
      <c r="AQ654" s="79"/>
      <c r="AR654" s="322"/>
      <c r="AS654" s="79"/>
      <c r="AT654" s="322"/>
      <c r="AU654" s="325">
        <f t="shared" si="202"/>
        <v>0</v>
      </c>
      <c r="AV654" s="90">
        <f t="shared" si="194"/>
        <v>0</v>
      </c>
      <c r="AW654" s="324">
        <f t="shared" si="203"/>
        <v>0</v>
      </c>
      <c r="AX654" s="80">
        <f t="shared" si="195"/>
        <v>0</v>
      </c>
      <c r="AY654" s="326">
        <f t="shared" si="204"/>
        <v>1655.0822222222223</v>
      </c>
      <c r="AZ654" s="80">
        <f t="shared" si="205"/>
        <v>1762.3922222222222</v>
      </c>
    </row>
    <row r="655" spans="1:52">
      <c r="A655" s="170" t="s">
        <v>306</v>
      </c>
      <c r="B655" s="170" t="s">
        <v>408</v>
      </c>
      <c r="C655" s="229">
        <v>229832</v>
      </c>
      <c r="D655" s="165">
        <v>10</v>
      </c>
      <c r="E655" s="162" t="s">
        <v>442</v>
      </c>
      <c r="F655" s="163" t="s">
        <v>442</v>
      </c>
      <c r="G655" s="79">
        <v>15113</v>
      </c>
      <c r="H655" s="322">
        <v>14873</v>
      </c>
      <c r="I655" s="79">
        <v>7085</v>
      </c>
      <c r="J655" s="322">
        <v>8903</v>
      </c>
      <c r="K655" s="79">
        <v>1489</v>
      </c>
      <c r="L655" s="322">
        <v>2233</v>
      </c>
      <c r="M655" s="79">
        <v>15020</v>
      </c>
      <c r="N655" s="322">
        <v>15275</v>
      </c>
      <c r="O655" s="323">
        <f t="shared" si="196"/>
        <v>38707</v>
      </c>
      <c r="P655" s="638">
        <f t="shared" si="206"/>
        <v>38707</v>
      </c>
      <c r="Q655" s="322">
        <v>2986</v>
      </c>
      <c r="R655" s="90">
        <f t="shared" si="192"/>
        <v>1290.2333333333333</v>
      </c>
      <c r="S655" s="324">
        <f t="shared" si="197"/>
        <v>41284</v>
      </c>
      <c r="T655" s="638">
        <f t="shared" si="207"/>
        <v>41284</v>
      </c>
      <c r="U655" s="322">
        <v>3416</v>
      </c>
      <c r="V655" s="80">
        <f t="shared" si="193"/>
        <v>1376.1333333333334</v>
      </c>
      <c r="W655" s="79">
        <v>15724</v>
      </c>
      <c r="X655" s="322">
        <v>17492</v>
      </c>
      <c r="Y655" s="79">
        <v>16409</v>
      </c>
      <c r="Z655" s="322">
        <v>21182</v>
      </c>
      <c r="AA655" s="79">
        <v>4968</v>
      </c>
      <c r="AB655" s="322">
        <v>9357</v>
      </c>
      <c r="AC655" s="79">
        <v>19324</v>
      </c>
      <c r="AD655" s="322">
        <v>92301</v>
      </c>
      <c r="AE655" s="323">
        <f t="shared" si="198"/>
        <v>56425</v>
      </c>
      <c r="AF655" s="638">
        <f t="shared" si="208"/>
        <v>0</v>
      </c>
      <c r="AG655" s="639" t="s">
        <v>949</v>
      </c>
      <c r="AH655" s="90">
        <f t="shared" si="199"/>
        <v>62.694444444444443</v>
      </c>
      <c r="AI655" s="80">
        <f t="shared" si="200"/>
        <v>140332</v>
      </c>
      <c r="AJ655" s="638">
        <f t="shared" si="209"/>
        <v>0</v>
      </c>
      <c r="AK655" s="639" t="s">
        <v>949</v>
      </c>
      <c r="AL655" s="80">
        <f t="shared" si="201"/>
        <v>155.92444444444445</v>
      </c>
      <c r="AM655" s="79"/>
      <c r="AN655" s="322"/>
      <c r="AO655" s="79"/>
      <c r="AP655" s="322"/>
      <c r="AQ655" s="79"/>
      <c r="AR655" s="322"/>
      <c r="AS655" s="79"/>
      <c r="AT655" s="322"/>
      <c r="AU655" s="325">
        <f t="shared" si="202"/>
        <v>0</v>
      </c>
      <c r="AV655" s="90">
        <f t="shared" si="194"/>
        <v>0</v>
      </c>
      <c r="AW655" s="324">
        <f t="shared" si="203"/>
        <v>0</v>
      </c>
      <c r="AX655" s="80">
        <f t="shared" si="195"/>
        <v>0</v>
      </c>
      <c r="AY655" s="326">
        <f t="shared" si="204"/>
        <v>1352.9277777777777</v>
      </c>
      <c r="AZ655" s="80">
        <f t="shared" si="205"/>
        <v>1532.0577777777778</v>
      </c>
    </row>
    <row r="656" spans="1:52">
      <c r="A656" s="170" t="s">
        <v>306</v>
      </c>
      <c r="B656" s="490" t="s">
        <v>409</v>
      </c>
      <c r="C656" s="491"/>
      <c r="D656" s="492" t="s">
        <v>410</v>
      </c>
      <c r="E656" s="493" t="s">
        <v>442</v>
      </c>
      <c r="F656" s="494" t="s">
        <v>442</v>
      </c>
      <c r="G656" s="495">
        <f>+G603+G604+G606+G610</f>
        <v>416125</v>
      </c>
      <c r="H656" s="496">
        <f t="shared" ref="H656:N656" si="210">+H603+H604+H606+H610</f>
        <v>420371</v>
      </c>
      <c r="I656" s="495">
        <f t="shared" si="210"/>
        <v>95250</v>
      </c>
      <c r="J656" s="496">
        <f t="shared" si="210"/>
        <v>113775</v>
      </c>
      <c r="K656" s="495">
        <f t="shared" si="210"/>
        <v>43039</v>
      </c>
      <c r="L656" s="496">
        <f t="shared" si="210"/>
        <v>32653</v>
      </c>
      <c r="M656" s="495">
        <f t="shared" si="210"/>
        <v>428192</v>
      </c>
      <c r="N656" s="496">
        <f t="shared" si="210"/>
        <v>433344</v>
      </c>
      <c r="O656" s="497">
        <f>SUM(G656,I656,K656,M656)</f>
        <v>982606</v>
      </c>
      <c r="P656" s="638">
        <f t="shared" si="206"/>
        <v>982606</v>
      </c>
      <c r="Q656" s="496">
        <f>+Q603+Q604+Q606+Q610</f>
        <v>49040</v>
      </c>
      <c r="R656" s="498">
        <f>+O656/30</f>
        <v>32753.533333333333</v>
      </c>
      <c r="S656" s="499">
        <f>SUM(H656,J656,L656,N656)</f>
        <v>1000143</v>
      </c>
      <c r="T656" s="638">
        <f t="shared" si="207"/>
        <v>1000143</v>
      </c>
      <c r="U656" s="496">
        <f>+U603+U604+U606+U610</f>
        <v>59184</v>
      </c>
      <c r="V656" s="500">
        <f>+S656/30</f>
        <v>33338.1</v>
      </c>
      <c r="W656" s="495">
        <f t="shared" ref="W656:AD656" si="211">+W603+W604+W606+W610</f>
        <v>170650</v>
      </c>
      <c r="X656" s="496">
        <f t="shared" si="211"/>
        <v>206008</v>
      </c>
      <c r="Y656" s="495">
        <f t="shared" si="211"/>
        <v>136761</v>
      </c>
      <c r="Z656" s="496">
        <f t="shared" si="211"/>
        <v>147099</v>
      </c>
      <c r="AA656" s="495">
        <f t="shared" si="211"/>
        <v>185859</v>
      </c>
      <c r="AB656" s="496">
        <f t="shared" si="211"/>
        <v>193408</v>
      </c>
      <c r="AC656" s="495">
        <f t="shared" si="211"/>
        <v>243210</v>
      </c>
      <c r="AD656" s="496">
        <f t="shared" si="211"/>
        <v>297098</v>
      </c>
      <c r="AE656" s="497">
        <f>SUM(W656,Y656,AA656,AC656)</f>
        <v>736480</v>
      </c>
      <c r="AF656" s="638">
        <f t="shared" si="208"/>
        <v>0</v>
      </c>
      <c r="AG656" s="639" t="s">
        <v>949</v>
      </c>
      <c r="AH656" s="498">
        <f>+AE656/900</f>
        <v>818.31111111111113</v>
      </c>
      <c r="AI656" s="500">
        <f>SUM(X656,Z656,AB656,AD656)</f>
        <v>843613</v>
      </c>
      <c r="AJ656" s="638">
        <f t="shared" si="209"/>
        <v>0</v>
      </c>
      <c r="AK656" s="639" t="s">
        <v>949</v>
      </c>
      <c r="AL656" s="500">
        <f>+AI656/900</f>
        <v>937.34777777777776</v>
      </c>
      <c r="AM656" s="495"/>
      <c r="AN656" s="496"/>
      <c r="AO656" s="495"/>
      <c r="AP656" s="496"/>
      <c r="AQ656" s="495"/>
      <c r="AR656" s="496"/>
      <c r="AS656" s="495"/>
      <c r="AT656" s="496"/>
      <c r="AU656" s="501">
        <f>SUM(AM656,AO656,AQ656,AS656)</f>
        <v>0</v>
      </c>
      <c r="AV656" s="498">
        <f>+AU656/24</f>
        <v>0</v>
      </c>
      <c r="AW656" s="499">
        <f>SUM(AN656,AP656,AR656,AT656)</f>
        <v>0</v>
      </c>
      <c r="AX656" s="500">
        <f>+AW656/24</f>
        <v>0</v>
      </c>
      <c r="AY656" s="502">
        <f>SUM(R656,AH656,AV656)</f>
        <v>33571.844444444447</v>
      </c>
      <c r="AZ656" s="500">
        <f>SUM(V656,AL656,AX656)</f>
        <v>34275.447777777779</v>
      </c>
    </row>
    <row r="657" spans="1:52">
      <c r="A657" s="170" t="s">
        <v>306</v>
      </c>
      <c r="B657" s="503" t="s">
        <v>411</v>
      </c>
      <c r="C657" s="491"/>
      <c r="D657" s="492" t="s">
        <v>410</v>
      </c>
      <c r="E657" s="493" t="s">
        <v>442</v>
      </c>
      <c r="F657" s="494" t="s">
        <v>442</v>
      </c>
      <c r="G657" s="495">
        <f>+G591+G595+G602+G605</f>
        <v>338589</v>
      </c>
      <c r="H657" s="496">
        <f t="shared" ref="H657:N657" si="212">+H591+H595+H602+H605</f>
        <v>329693</v>
      </c>
      <c r="I657" s="495">
        <f t="shared" si="212"/>
        <v>111683</v>
      </c>
      <c r="J657" s="496">
        <f t="shared" si="212"/>
        <v>124144</v>
      </c>
      <c r="K657" s="495">
        <f t="shared" si="212"/>
        <v>58150</v>
      </c>
      <c r="L657" s="496">
        <f t="shared" si="212"/>
        <v>61311</v>
      </c>
      <c r="M657" s="495">
        <f t="shared" si="212"/>
        <v>307381</v>
      </c>
      <c r="N657" s="496">
        <f t="shared" si="212"/>
        <v>316483</v>
      </c>
      <c r="O657" s="497">
        <f>SUM(G657,I657,K657,M657)</f>
        <v>815803</v>
      </c>
      <c r="P657" s="638">
        <f t="shared" si="206"/>
        <v>815803</v>
      </c>
      <c r="Q657" s="496">
        <f>+Q591+Q595+Q602+Q605</f>
        <v>40319</v>
      </c>
      <c r="R657" s="498">
        <f>+O657/30</f>
        <v>27193.433333333334</v>
      </c>
      <c r="S657" s="499">
        <f>SUM(H657,J657,L657,N657)</f>
        <v>831631</v>
      </c>
      <c r="T657" s="638">
        <f t="shared" si="207"/>
        <v>831631</v>
      </c>
      <c r="U657" s="496">
        <f>+U591+U595+U602+U605</f>
        <v>48160</v>
      </c>
      <c r="V657" s="500">
        <f>+S657/30</f>
        <v>27721.033333333333</v>
      </c>
      <c r="W657" s="495">
        <f t="shared" ref="W657:AD657" si="213">+W591+W595+W602+W605</f>
        <v>472384</v>
      </c>
      <c r="X657" s="496">
        <f t="shared" si="213"/>
        <v>400320</v>
      </c>
      <c r="Y657" s="495">
        <f t="shared" si="213"/>
        <v>420081</v>
      </c>
      <c r="Z657" s="496">
        <f t="shared" si="213"/>
        <v>390592</v>
      </c>
      <c r="AA657" s="495">
        <f t="shared" si="213"/>
        <v>420072</v>
      </c>
      <c r="AB657" s="496">
        <f t="shared" si="213"/>
        <v>388149</v>
      </c>
      <c r="AC657" s="495">
        <f t="shared" si="213"/>
        <v>584550</v>
      </c>
      <c r="AD657" s="496">
        <f t="shared" si="213"/>
        <v>560720</v>
      </c>
      <c r="AE657" s="497">
        <f>SUM(W657,Y657,AA657,AC657)</f>
        <v>1897087</v>
      </c>
      <c r="AF657" s="638">
        <f t="shared" si="208"/>
        <v>0</v>
      </c>
      <c r="AG657" s="639" t="s">
        <v>949</v>
      </c>
      <c r="AH657" s="498">
        <f>+AE657/900</f>
        <v>2107.8744444444446</v>
      </c>
      <c r="AI657" s="500">
        <f>SUM(X657,Z657,AB657,AD657)</f>
        <v>1739781</v>
      </c>
      <c r="AJ657" s="638">
        <f t="shared" si="209"/>
        <v>0</v>
      </c>
      <c r="AK657" s="639" t="s">
        <v>949</v>
      </c>
      <c r="AL657" s="500">
        <f>+AI657/900</f>
        <v>1933.09</v>
      </c>
      <c r="AM657" s="495"/>
      <c r="AN657" s="496"/>
      <c r="AO657" s="495"/>
      <c r="AP657" s="496"/>
      <c r="AQ657" s="495"/>
      <c r="AR657" s="496"/>
      <c r="AS657" s="495"/>
      <c r="AT657" s="496"/>
      <c r="AU657" s="501">
        <f>SUM(AM657,AO657,AQ657,AS657)</f>
        <v>0</v>
      </c>
      <c r="AV657" s="498">
        <f>+AU657/24</f>
        <v>0</v>
      </c>
      <c r="AW657" s="499">
        <f>SUM(AN657,AP657,AR657,AT657)</f>
        <v>0</v>
      </c>
      <c r="AX657" s="500">
        <f>+AW657/24</f>
        <v>0</v>
      </c>
      <c r="AY657" s="502">
        <f>SUM(R657,AH657,AV657)</f>
        <v>29301.30777777778</v>
      </c>
      <c r="AZ657" s="500">
        <f>SUM(V657,AL657,AX657)</f>
        <v>29654.123333333333</v>
      </c>
    </row>
    <row r="658" spans="1:52">
      <c r="A658" s="170" t="s">
        <v>306</v>
      </c>
      <c r="B658" s="503" t="s">
        <v>411</v>
      </c>
      <c r="C658" s="491"/>
      <c r="D658" s="492" t="s">
        <v>412</v>
      </c>
      <c r="E658" s="493" t="s">
        <v>442</v>
      </c>
      <c r="F658" s="494" t="s">
        <v>442</v>
      </c>
      <c r="G658" s="495">
        <f>+G617+G621+G629</f>
        <v>136405</v>
      </c>
      <c r="H658" s="496">
        <f t="shared" ref="H658:N658" si="214">+H617+H621+H629</f>
        <v>131588</v>
      </c>
      <c r="I658" s="495">
        <f t="shared" si="214"/>
        <v>35228</v>
      </c>
      <c r="J658" s="496">
        <f t="shared" si="214"/>
        <v>44686</v>
      </c>
      <c r="K658" s="495">
        <f t="shared" si="214"/>
        <v>20476</v>
      </c>
      <c r="L658" s="496">
        <f t="shared" si="214"/>
        <v>21657</v>
      </c>
      <c r="M658" s="495">
        <f t="shared" si="214"/>
        <v>130705</v>
      </c>
      <c r="N658" s="496">
        <f t="shared" si="214"/>
        <v>135438</v>
      </c>
      <c r="O658" s="497">
        <f>SUM(G658,I658,K658,M658)</f>
        <v>322814</v>
      </c>
      <c r="P658" s="638">
        <f t="shared" si="206"/>
        <v>322814</v>
      </c>
      <c r="Q658" s="496">
        <f>+Q617+Q621+Q629</f>
        <v>14379</v>
      </c>
      <c r="R658" s="498">
        <f>+O658/30</f>
        <v>10760.466666666667</v>
      </c>
      <c r="S658" s="499">
        <f>SUM(H658,J658,L658,N658)</f>
        <v>333369</v>
      </c>
      <c r="T658" s="638">
        <f t="shared" si="207"/>
        <v>333369</v>
      </c>
      <c r="U658" s="496">
        <f>+U617+U621+U629</f>
        <v>18261</v>
      </c>
      <c r="V658" s="500">
        <f>+S658/30</f>
        <v>11112.3</v>
      </c>
      <c r="W658" s="495">
        <f t="shared" ref="W658:AD658" si="215">+W617+W621+W629</f>
        <v>291521</v>
      </c>
      <c r="X658" s="496">
        <f t="shared" si="215"/>
        <v>295730</v>
      </c>
      <c r="Y658" s="495">
        <f t="shared" si="215"/>
        <v>301755</v>
      </c>
      <c r="Z658" s="496">
        <f t="shared" si="215"/>
        <v>391747</v>
      </c>
      <c r="AA658" s="495">
        <f t="shared" si="215"/>
        <v>322504</v>
      </c>
      <c r="AB658" s="496">
        <f t="shared" si="215"/>
        <v>427626</v>
      </c>
      <c r="AC658" s="495">
        <f t="shared" si="215"/>
        <v>371443</v>
      </c>
      <c r="AD658" s="496">
        <f t="shared" si="215"/>
        <v>505346</v>
      </c>
      <c r="AE658" s="497">
        <f>SUM(W658,Y658,AA658,AC658)</f>
        <v>1287223</v>
      </c>
      <c r="AF658" s="638">
        <f t="shared" si="208"/>
        <v>0</v>
      </c>
      <c r="AG658" s="639" t="s">
        <v>949</v>
      </c>
      <c r="AH658" s="498">
        <f>+AE658/900</f>
        <v>1430.2477777777779</v>
      </c>
      <c r="AI658" s="500">
        <f>SUM(X658,Z658,AB658,AD658)</f>
        <v>1620449</v>
      </c>
      <c r="AJ658" s="638">
        <f t="shared" si="209"/>
        <v>0</v>
      </c>
      <c r="AK658" s="639" t="s">
        <v>949</v>
      </c>
      <c r="AL658" s="500">
        <f>+AI658/900</f>
        <v>1800.4988888888888</v>
      </c>
      <c r="AM658" s="495"/>
      <c r="AN658" s="496"/>
      <c r="AO658" s="495"/>
      <c r="AP658" s="496"/>
      <c r="AQ658" s="495"/>
      <c r="AR658" s="496"/>
      <c r="AS658" s="495"/>
      <c r="AT658" s="496"/>
      <c r="AU658" s="501">
        <f>SUM(AM658,AO658,AQ658,AS658)</f>
        <v>0</v>
      </c>
      <c r="AV658" s="498">
        <f>+AU658/24</f>
        <v>0</v>
      </c>
      <c r="AW658" s="499">
        <f>SUM(AN658,AP658,AR658,AT658)</f>
        <v>0</v>
      </c>
      <c r="AX658" s="500">
        <f>+AW658/24</f>
        <v>0</v>
      </c>
      <c r="AY658" s="502">
        <f>SUM(R658,AH658,AV658)</f>
        <v>12190.714444444446</v>
      </c>
      <c r="AZ658" s="500">
        <f>SUM(V658,AL658,AX658)</f>
        <v>12912.798888888889</v>
      </c>
    </row>
    <row r="659" spans="1:52">
      <c r="A659" s="170" t="s">
        <v>306</v>
      </c>
      <c r="B659" s="504" t="s">
        <v>413</v>
      </c>
      <c r="C659" s="491"/>
      <c r="D659" s="492" t="s">
        <v>412</v>
      </c>
      <c r="E659" s="493" t="s">
        <v>442</v>
      </c>
      <c r="F659" s="494" t="s">
        <v>442</v>
      </c>
      <c r="G659" s="495">
        <f>+G624</f>
        <v>24569</v>
      </c>
      <c r="H659" s="496">
        <f t="shared" ref="H659:N659" si="216">+H624</f>
        <v>26299</v>
      </c>
      <c r="I659" s="495">
        <f t="shared" si="216"/>
        <v>1076</v>
      </c>
      <c r="J659" s="496">
        <f t="shared" si="216"/>
        <v>4842</v>
      </c>
      <c r="K659" s="495">
        <f t="shared" si="216"/>
        <v>5185</v>
      </c>
      <c r="L659" s="496">
        <f t="shared" si="216"/>
        <v>2238</v>
      </c>
      <c r="M659" s="495">
        <f t="shared" si="216"/>
        <v>27711</v>
      </c>
      <c r="N659" s="496">
        <f t="shared" si="216"/>
        <v>28526</v>
      </c>
      <c r="O659" s="497">
        <f>SUM(G659,I659,K659,M659)</f>
        <v>58541</v>
      </c>
      <c r="P659" s="638">
        <f t="shared" si="206"/>
        <v>58541</v>
      </c>
      <c r="Q659" s="496">
        <f>+Q624</f>
        <v>2326</v>
      </c>
      <c r="R659" s="498">
        <f>+O659/30</f>
        <v>1951.3666666666666</v>
      </c>
      <c r="S659" s="499">
        <f>SUM(H659,J659,L659,N659)</f>
        <v>61905</v>
      </c>
      <c r="T659" s="638">
        <f t="shared" si="207"/>
        <v>61905</v>
      </c>
      <c r="U659" s="496">
        <f>+U624</f>
        <v>11052</v>
      </c>
      <c r="V659" s="500">
        <f>+S659/30</f>
        <v>2063.5</v>
      </c>
      <c r="W659" s="495">
        <f t="shared" ref="W659:AD659" si="217">+W624</f>
        <v>221114</v>
      </c>
      <c r="X659" s="496">
        <f t="shared" si="217"/>
        <v>215791</v>
      </c>
      <c r="Y659" s="495">
        <f t="shared" si="217"/>
        <v>240571</v>
      </c>
      <c r="Z659" s="496">
        <f t="shared" si="217"/>
        <v>255640</v>
      </c>
      <c r="AA659" s="495">
        <f t="shared" si="217"/>
        <v>267985</v>
      </c>
      <c r="AB659" s="496">
        <f t="shared" si="217"/>
        <v>244486</v>
      </c>
      <c r="AC659" s="495">
        <f t="shared" si="217"/>
        <v>230966</v>
      </c>
      <c r="AD659" s="496">
        <f t="shared" si="217"/>
        <v>249635</v>
      </c>
      <c r="AE659" s="497">
        <f>SUM(W659,Y659,AA659,AC659)</f>
        <v>960636</v>
      </c>
      <c r="AF659" s="638">
        <f t="shared" si="208"/>
        <v>0</v>
      </c>
      <c r="AG659" s="639" t="s">
        <v>949</v>
      </c>
      <c r="AH659" s="498">
        <f>+AE659/900</f>
        <v>1067.3733333333332</v>
      </c>
      <c r="AI659" s="500">
        <f>SUM(X659,Z659,AB659,AD659)</f>
        <v>965552</v>
      </c>
      <c r="AJ659" s="638">
        <f t="shared" si="209"/>
        <v>0</v>
      </c>
      <c r="AK659" s="639" t="s">
        <v>949</v>
      </c>
      <c r="AL659" s="500">
        <f>+AI659/900</f>
        <v>1072.8355555555556</v>
      </c>
      <c r="AM659" s="495"/>
      <c r="AN659" s="496"/>
      <c r="AO659" s="495"/>
      <c r="AP659" s="496"/>
      <c r="AQ659" s="495"/>
      <c r="AR659" s="496"/>
      <c r="AS659" s="495"/>
      <c r="AT659" s="496"/>
      <c r="AU659" s="501">
        <f>SUM(AM659,AO659,AQ659,AS659)</f>
        <v>0</v>
      </c>
      <c r="AV659" s="498">
        <f>+AU659/24</f>
        <v>0</v>
      </c>
      <c r="AW659" s="499">
        <f>SUM(AN659,AP659,AR659,AT659)</f>
        <v>0</v>
      </c>
      <c r="AX659" s="500">
        <f>+AW659/24</f>
        <v>0</v>
      </c>
      <c r="AY659" s="502">
        <f>SUM(R659,AH659,AV659)</f>
        <v>3018.74</v>
      </c>
      <c r="AZ659" s="500">
        <f>SUM(V659,AL659,AX659)</f>
        <v>3136.3355555555554</v>
      </c>
    </row>
    <row r="660" spans="1:52">
      <c r="A660" s="170" t="s">
        <v>306</v>
      </c>
      <c r="B660" s="490" t="s">
        <v>409</v>
      </c>
      <c r="C660" s="491"/>
      <c r="D660" s="492" t="s">
        <v>832</v>
      </c>
      <c r="E660" s="493" t="s">
        <v>442</v>
      </c>
      <c r="F660" s="494" t="s">
        <v>442</v>
      </c>
      <c r="G660" s="495">
        <f>+G648</f>
        <v>0</v>
      </c>
      <c r="H660" s="496">
        <f t="shared" ref="H660:N660" si="218">+H648</f>
        <v>1527</v>
      </c>
      <c r="I660" s="495">
        <f t="shared" si="218"/>
        <v>0</v>
      </c>
      <c r="J660" s="496">
        <f t="shared" si="218"/>
        <v>763</v>
      </c>
      <c r="K660" s="495">
        <f t="shared" si="218"/>
        <v>0</v>
      </c>
      <c r="L660" s="496">
        <f t="shared" si="218"/>
        <v>689</v>
      </c>
      <c r="M660" s="495">
        <f t="shared" si="218"/>
        <v>895</v>
      </c>
      <c r="N660" s="496">
        <f t="shared" si="218"/>
        <v>3836</v>
      </c>
      <c r="O660" s="497">
        <f t="shared" si="196"/>
        <v>895</v>
      </c>
      <c r="P660" s="638">
        <f t="shared" si="206"/>
        <v>895</v>
      </c>
      <c r="Q660" s="496">
        <f>+Q648</f>
        <v>0</v>
      </c>
      <c r="R660" s="498">
        <f t="shared" si="192"/>
        <v>29.833333333333332</v>
      </c>
      <c r="S660" s="499">
        <f t="shared" si="197"/>
        <v>6815</v>
      </c>
      <c r="T660" s="638">
        <f t="shared" si="207"/>
        <v>6815</v>
      </c>
      <c r="U660" s="496">
        <f>+U648</f>
        <v>13</v>
      </c>
      <c r="V660" s="500">
        <f t="shared" si="193"/>
        <v>227.16666666666666</v>
      </c>
      <c r="W660" s="495">
        <f t="shared" ref="W660:AD660" si="219">+W648</f>
        <v>0</v>
      </c>
      <c r="X660" s="496">
        <f t="shared" si="219"/>
        <v>0</v>
      </c>
      <c r="Y660" s="495">
        <f t="shared" si="219"/>
        <v>0</v>
      </c>
      <c r="Z660" s="496">
        <f t="shared" si="219"/>
        <v>0</v>
      </c>
      <c r="AA660" s="495">
        <f t="shared" si="219"/>
        <v>0</v>
      </c>
      <c r="AB660" s="496">
        <f t="shared" si="219"/>
        <v>0</v>
      </c>
      <c r="AC660" s="495">
        <f t="shared" si="219"/>
        <v>0</v>
      </c>
      <c r="AD660" s="496">
        <f t="shared" si="219"/>
        <v>0</v>
      </c>
      <c r="AE660" s="497">
        <f t="shared" si="198"/>
        <v>0</v>
      </c>
      <c r="AF660" s="638">
        <f t="shared" si="208"/>
        <v>0</v>
      </c>
      <c r="AG660" s="639" t="s">
        <v>949</v>
      </c>
      <c r="AH660" s="498">
        <f t="shared" si="199"/>
        <v>0</v>
      </c>
      <c r="AI660" s="500">
        <f t="shared" si="200"/>
        <v>0</v>
      </c>
      <c r="AJ660" s="638">
        <f t="shared" si="209"/>
        <v>0</v>
      </c>
      <c r="AK660" s="639" t="s">
        <v>949</v>
      </c>
      <c r="AL660" s="500">
        <f t="shared" si="201"/>
        <v>0</v>
      </c>
      <c r="AM660" s="495"/>
      <c r="AN660" s="496"/>
      <c r="AO660" s="495"/>
      <c r="AP660" s="496"/>
      <c r="AQ660" s="495"/>
      <c r="AR660" s="496"/>
      <c r="AS660" s="495"/>
      <c r="AT660" s="496"/>
      <c r="AU660" s="501">
        <f t="shared" si="202"/>
        <v>0</v>
      </c>
      <c r="AV660" s="498">
        <f t="shared" si="194"/>
        <v>0</v>
      </c>
      <c r="AW660" s="499">
        <f t="shared" si="203"/>
        <v>0</v>
      </c>
      <c r="AX660" s="500">
        <f t="shared" si="195"/>
        <v>0</v>
      </c>
      <c r="AY660" s="502">
        <f t="shared" si="204"/>
        <v>29.833333333333332</v>
      </c>
      <c r="AZ660" s="500">
        <f t="shared" si="205"/>
        <v>227.16666666666666</v>
      </c>
    </row>
    <row r="661" spans="1:52">
      <c r="A661" s="170" t="s">
        <v>306</v>
      </c>
      <c r="B661" s="504" t="s">
        <v>413</v>
      </c>
      <c r="C661" s="491"/>
      <c r="D661" s="492" t="s">
        <v>832</v>
      </c>
      <c r="E661" s="493" t="s">
        <v>442</v>
      </c>
      <c r="F661" s="494" t="s">
        <v>442</v>
      </c>
      <c r="G661" s="495">
        <f>+G652</f>
        <v>995</v>
      </c>
      <c r="H661" s="496">
        <f t="shared" ref="H661:N661" si="220">+H652</f>
        <v>1011</v>
      </c>
      <c r="I661" s="495">
        <f t="shared" si="220"/>
        <v>0</v>
      </c>
      <c r="J661" s="496">
        <f t="shared" si="220"/>
        <v>0</v>
      </c>
      <c r="K661" s="495">
        <f t="shared" si="220"/>
        <v>0</v>
      </c>
      <c r="L661" s="496">
        <f t="shared" si="220"/>
        <v>0</v>
      </c>
      <c r="M661" s="495">
        <f t="shared" si="220"/>
        <v>1186</v>
      </c>
      <c r="N661" s="496">
        <f t="shared" si="220"/>
        <v>1072</v>
      </c>
      <c r="O661" s="497">
        <f t="shared" si="196"/>
        <v>2181</v>
      </c>
      <c r="P661" s="638">
        <f t="shared" si="206"/>
        <v>2181</v>
      </c>
      <c r="Q661" s="496">
        <f>+Q652</f>
        <v>0</v>
      </c>
      <c r="R661" s="498">
        <f t="shared" si="192"/>
        <v>72.7</v>
      </c>
      <c r="S661" s="499">
        <f t="shared" si="197"/>
        <v>2083</v>
      </c>
      <c r="T661" s="638">
        <f t="shared" si="207"/>
        <v>2083</v>
      </c>
      <c r="U661" s="496">
        <f>+U652</f>
        <v>0</v>
      </c>
      <c r="V661" s="500">
        <f t="shared" si="193"/>
        <v>69.433333333333337</v>
      </c>
      <c r="W661" s="495">
        <f t="shared" ref="W661:AD661" si="221">+W652</f>
        <v>0</v>
      </c>
      <c r="X661" s="496">
        <f t="shared" si="221"/>
        <v>0</v>
      </c>
      <c r="Y661" s="495">
        <f t="shared" si="221"/>
        <v>0</v>
      </c>
      <c r="Z661" s="496">
        <f t="shared" si="221"/>
        <v>0</v>
      </c>
      <c r="AA661" s="495">
        <f t="shared" si="221"/>
        <v>0</v>
      </c>
      <c r="AB661" s="496">
        <f t="shared" si="221"/>
        <v>0</v>
      </c>
      <c r="AC661" s="495">
        <f t="shared" si="221"/>
        <v>0</v>
      </c>
      <c r="AD661" s="496">
        <f t="shared" si="221"/>
        <v>0</v>
      </c>
      <c r="AE661" s="497">
        <f t="shared" si="198"/>
        <v>0</v>
      </c>
      <c r="AF661" s="638">
        <f t="shared" si="208"/>
        <v>0</v>
      </c>
      <c r="AG661" s="639" t="s">
        <v>949</v>
      </c>
      <c r="AH661" s="498">
        <f t="shared" si="199"/>
        <v>0</v>
      </c>
      <c r="AI661" s="500">
        <f t="shared" si="200"/>
        <v>0</v>
      </c>
      <c r="AJ661" s="638">
        <f t="shared" si="209"/>
        <v>0</v>
      </c>
      <c r="AK661" s="639" t="s">
        <v>949</v>
      </c>
      <c r="AL661" s="500">
        <f t="shared" si="201"/>
        <v>0</v>
      </c>
      <c r="AM661" s="495"/>
      <c r="AN661" s="496"/>
      <c r="AO661" s="495"/>
      <c r="AP661" s="496"/>
      <c r="AQ661" s="495"/>
      <c r="AR661" s="496"/>
      <c r="AS661" s="495"/>
      <c r="AT661" s="496"/>
      <c r="AU661" s="501">
        <f t="shared" si="202"/>
        <v>0</v>
      </c>
      <c r="AV661" s="498">
        <f t="shared" si="194"/>
        <v>0</v>
      </c>
      <c r="AW661" s="499">
        <f t="shared" si="203"/>
        <v>0</v>
      </c>
      <c r="AX661" s="500">
        <f t="shared" si="195"/>
        <v>0</v>
      </c>
      <c r="AY661" s="502">
        <f t="shared" si="204"/>
        <v>72.7</v>
      </c>
      <c r="AZ661" s="500">
        <f t="shared" si="205"/>
        <v>69.433333333333337</v>
      </c>
    </row>
    <row r="662" spans="1:52">
      <c r="A662" s="170" t="s">
        <v>306</v>
      </c>
      <c r="B662" s="490" t="s">
        <v>409</v>
      </c>
      <c r="C662" s="491"/>
      <c r="D662" s="492" t="s">
        <v>669</v>
      </c>
      <c r="E662" s="493" t="s">
        <v>442</v>
      </c>
      <c r="F662" s="494" t="s">
        <v>442</v>
      </c>
      <c r="G662" s="495">
        <f>+G660+G656</f>
        <v>416125</v>
      </c>
      <c r="H662" s="496">
        <f t="shared" ref="H662:N662" si="222">+H660+H656</f>
        <v>421898</v>
      </c>
      <c r="I662" s="495">
        <f t="shared" si="222"/>
        <v>95250</v>
      </c>
      <c r="J662" s="496">
        <f t="shared" si="222"/>
        <v>114538</v>
      </c>
      <c r="K662" s="495">
        <f t="shared" si="222"/>
        <v>43039</v>
      </c>
      <c r="L662" s="496">
        <f t="shared" si="222"/>
        <v>33342</v>
      </c>
      <c r="M662" s="495">
        <f t="shared" si="222"/>
        <v>429087</v>
      </c>
      <c r="N662" s="496">
        <f t="shared" si="222"/>
        <v>437180</v>
      </c>
      <c r="O662" s="497">
        <f t="shared" si="196"/>
        <v>983501</v>
      </c>
      <c r="P662" s="638">
        <f t="shared" si="206"/>
        <v>983501</v>
      </c>
      <c r="Q662" s="496">
        <f>+Q660+Q656</f>
        <v>49040</v>
      </c>
      <c r="R662" s="498">
        <f t="shared" si="192"/>
        <v>32783.366666666669</v>
      </c>
      <c r="S662" s="499">
        <f t="shared" si="197"/>
        <v>1006958</v>
      </c>
      <c r="T662" s="638">
        <f t="shared" si="207"/>
        <v>1006958</v>
      </c>
      <c r="U662" s="496">
        <f>+U660+U656</f>
        <v>59197</v>
      </c>
      <c r="V662" s="500">
        <f t="shared" si="193"/>
        <v>33565.26666666667</v>
      </c>
      <c r="W662" s="495">
        <f t="shared" ref="W662:AD662" si="223">+W660+W656</f>
        <v>170650</v>
      </c>
      <c r="X662" s="496">
        <f t="shared" si="223"/>
        <v>206008</v>
      </c>
      <c r="Y662" s="495">
        <f t="shared" si="223"/>
        <v>136761</v>
      </c>
      <c r="Z662" s="496">
        <f t="shared" si="223"/>
        <v>147099</v>
      </c>
      <c r="AA662" s="495">
        <f t="shared" si="223"/>
        <v>185859</v>
      </c>
      <c r="AB662" s="496">
        <f t="shared" si="223"/>
        <v>193408</v>
      </c>
      <c r="AC662" s="495">
        <f t="shared" si="223"/>
        <v>243210</v>
      </c>
      <c r="AD662" s="496">
        <f t="shared" si="223"/>
        <v>297098</v>
      </c>
      <c r="AE662" s="497">
        <f t="shared" si="198"/>
        <v>736480</v>
      </c>
      <c r="AF662" s="638">
        <f t="shared" si="208"/>
        <v>0</v>
      </c>
      <c r="AG662" s="639" t="s">
        <v>949</v>
      </c>
      <c r="AH662" s="498">
        <f t="shared" si="199"/>
        <v>818.31111111111113</v>
      </c>
      <c r="AI662" s="500">
        <f t="shared" si="200"/>
        <v>843613</v>
      </c>
      <c r="AJ662" s="638">
        <f t="shared" si="209"/>
        <v>0</v>
      </c>
      <c r="AK662" s="639" t="s">
        <v>949</v>
      </c>
      <c r="AL662" s="500">
        <f t="shared" si="201"/>
        <v>937.34777777777776</v>
      </c>
      <c r="AM662" s="495"/>
      <c r="AN662" s="496"/>
      <c r="AO662" s="495"/>
      <c r="AP662" s="496"/>
      <c r="AQ662" s="495"/>
      <c r="AR662" s="496"/>
      <c r="AS662" s="495"/>
      <c r="AT662" s="496"/>
      <c r="AU662" s="501">
        <f t="shared" si="202"/>
        <v>0</v>
      </c>
      <c r="AV662" s="498">
        <f t="shared" si="194"/>
        <v>0</v>
      </c>
      <c r="AW662" s="499">
        <f t="shared" si="203"/>
        <v>0</v>
      </c>
      <c r="AX662" s="500">
        <f t="shared" si="195"/>
        <v>0</v>
      </c>
      <c r="AY662" s="502">
        <f t="shared" si="204"/>
        <v>33601.677777777782</v>
      </c>
      <c r="AZ662" s="500">
        <f t="shared" si="205"/>
        <v>34502.614444444451</v>
      </c>
    </row>
    <row r="663" spans="1:52">
      <c r="A663" s="170" t="s">
        <v>306</v>
      </c>
      <c r="B663" s="503" t="s">
        <v>411</v>
      </c>
      <c r="C663" s="491"/>
      <c r="D663" s="492" t="s">
        <v>669</v>
      </c>
      <c r="E663" s="493" t="s">
        <v>442</v>
      </c>
      <c r="F663" s="494" t="s">
        <v>442</v>
      </c>
      <c r="G663" s="495">
        <f>+G658+G657</f>
        <v>474994</v>
      </c>
      <c r="H663" s="496">
        <f t="shared" ref="H663:N663" si="224">+H658+H657</f>
        <v>461281</v>
      </c>
      <c r="I663" s="495">
        <f t="shared" si="224"/>
        <v>146911</v>
      </c>
      <c r="J663" s="496">
        <f t="shared" si="224"/>
        <v>168830</v>
      </c>
      <c r="K663" s="495">
        <f t="shared" si="224"/>
        <v>78626</v>
      </c>
      <c r="L663" s="496">
        <f t="shared" si="224"/>
        <v>82968</v>
      </c>
      <c r="M663" s="495">
        <f t="shared" si="224"/>
        <v>438086</v>
      </c>
      <c r="N663" s="496">
        <f t="shared" si="224"/>
        <v>451921</v>
      </c>
      <c r="O663" s="497">
        <f t="shared" si="196"/>
        <v>1138617</v>
      </c>
      <c r="P663" s="638">
        <f t="shared" si="206"/>
        <v>1138617</v>
      </c>
      <c r="Q663" s="496">
        <f>+Q658+Q657</f>
        <v>54698</v>
      </c>
      <c r="R663" s="498">
        <f t="shared" si="192"/>
        <v>37953.9</v>
      </c>
      <c r="S663" s="499">
        <f t="shared" si="197"/>
        <v>1165000</v>
      </c>
      <c r="T663" s="638">
        <f t="shared" si="207"/>
        <v>1165000</v>
      </c>
      <c r="U663" s="496">
        <f>+U658+U657</f>
        <v>66421</v>
      </c>
      <c r="V663" s="500">
        <f t="shared" si="193"/>
        <v>38833.333333333336</v>
      </c>
      <c r="W663" s="495">
        <f t="shared" ref="W663:AD663" si="225">+W658+W657</f>
        <v>763905</v>
      </c>
      <c r="X663" s="496">
        <f t="shared" si="225"/>
        <v>696050</v>
      </c>
      <c r="Y663" s="495">
        <f t="shared" si="225"/>
        <v>721836</v>
      </c>
      <c r="Z663" s="496">
        <f t="shared" si="225"/>
        <v>782339</v>
      </c>
      <c r="AA663" s="495">
        <f t="shared" si="225"/>
        <v>742576</v>
      </c>
      <c r="AB663" s="496">
        <f t="shared" si="225"/>
        <v>815775</v>
      </c>
      <c r="AC663" s="495">
        <f t="shared" si="225"/>
        <v>955993</v>
      </c>
      <c r="AD663" s="496">
        <f t="shared" si="225"/>
        <v>1066066</v>
      </c>
      <c r="AE663" s="497">
        <f t="shared" si="198"/>
        <v>3184310</v>
      </c>
      <c r="AF663" s="638">
        <f t="shared" si="208"/>
        <v>0</v>
      </c>
      <c r="AG663" s="639" t="s">
        <v>949</v>
      </c>
      <c r="AH663" s="498">
        <f t="shared" si="199"/>
        <v>3538.1222222222223</v>
      </c>
      <c r="AI663" s="500">
        <f t="shared" si="200"/>
        <v>3360230</v>
      </c>
      <c r="AJ663" s="638">
        <f t="shared" si="209"/>
        <v>0</v>
      </c>
      <c r="AK663" s="639" t="s">
        <v>949</v>
      </c>
      <c r="AL663" s="500">
        <f t="shared" si="201"/>
        <v>3733.588888888889</v>
      </c>
      <c r="AM663" s="495"/>
      <c r="AN663" s="496"/>
      <c r="AO663" s="495"/>
      <c r="AP663" s="496"/>
      <c r="AQ663" s="495"/>
      <c r="AR663" s="496"/>
      <c r="AS663" s="495"/>
      <c r="AT663" s="496"/>
      <c r="AU663" s="501">
        <f t="shared" si="202"/>
        <v>0</v>
      </c>
      <c r="AV663" s="498">
        <f t="shared" si="194"/>
        <v>0</v>
      </c>
      <c r="AW663" s="499">
        <f t="shared" si="203"/>
        <v>0</v>
      </c>
      <c r="AX663" s="500">
        <f t="shared" si="195"/>
        <v>0</v>
      </c>
      <c r="AY663" s="502">
        <f t="shared" si="204"/>
        <v>41492.022222222222</v>
      </c>
      <c r="AZ663" s="500">
        <f t="shared" si="205"/>
        <v>42566.922222222223</v>
      </c>
    </row>
    <row r="664" spans="1:52">
      <c r="A664" s="170" t="s">
        <v>306</v>
      </c>
      <c r="B664" s="504" t="s">
        <v>413</v>
      </c>
      <c r="C664" s="491"/>
      <c r="D664" s="492" t="s">
        <v>669</v>
      </c>
      <c r="E664" s="493" t="s">
        <v>442</v>
      </c>
      <c r="F664" s="494" t="s">
        <v>442</v>
      </c>
      <c r="G664" s="495">
        <f>+G661+G659</f>
        <v>25564</v>
      </c>
      <c r="H664" s="496">
        <f t="shared" ref="H664:N664" si="226">+H661+H659</f>
        <v>27310</v>
      </c>
      <c r="I664" s="495">
        <f t="shared" si="226"/>
        <v>1076</v>
      </c>
      <c r="J664" s="496">
        <f t="shared" si="226"/>
        <v>4842</v>
      </c>
      <c r="K664" s="495">
        <f t="shared" si="226"/>
        <v>5185</v>
      </c>
      <c r="L664" s="496">
        <f t="shared" si="226"/>
        <v>2238</v>
      </c>
      <c r="M664" s="495">
        <f t="shared" si="226"/>
        <v>28897</v>
      </c>
      <c r="N664" s="496">
        <f t="shared" si="226"/>
        <v>29598</v>
      </c>
      <c r="O664" s="497">
        <f t="shared" si="196"/>
        <v>60722</v>
      </c>
      <c r="P664" s="638">
        <f t="shared" si="206"/>
        <v>60722</v>
      </c>
      <c r="Q664" s="496">
        <f>+Q661+Q659</f>
        <v>2326</v>
      </c>
      <c r="R664" s="498">
        <f t="shared" ref="R664:R726" si="227">+O664/30</f>
        <v>2024.0666666666666</v>
      </c>
      <c r="S664" s="499">
        <f t="shared" si="197"/>
        <v>63988</v>
      </c>
      <c r="T664" s="638">
        <f t="shared" si="207"/>
        <v>63988</v>
      </c>
      <c r="U664" s="496">
        <f>+U661+U659</f>
        <v>11052</v>
      </c>
      <c r="V664" s="500">
        <f t="shared" ref="V664:V726" si="228">+S664/30</f>
        <v>2132.9333333333334</v>
      </c>
      <c r="W664" s="495">
        <f t="shared" ref="W664:AD664" si="229">+W661+W659</f>
        <v>221114</v>
      </c>
      <c r="X664" s="496">
        <f t="shared" si="229"/>
        <v>215791</v>
      </c>
      <c r="Y664" s="495">
        <f t="shared" si="229"/>
        <v>240571</v>
      </c>
      <c r="Z664" s="496">
        <f t="shared" si="229"/>
        <v>255640</v>
      </c>
      <c r="AA664" s="495">
        <f t="shared" si="229"/>
        <v>267985</v>
      </c>
      <c r="AB664" s="496">
        <f t="shared" si="229"/>
        <v>244486</v>
      </c>
      <c r="AC664" s="495">
        <f t="shared" si="229"/>
        <v>230966</v>
      </c>
      <c r="AD664" s="496">
        <f t="shared" si="229"/>
        <v>249635</v>
      </c>
      <c r="AE664" s="497">
        <f t="shared" si="198"/>
        <v>960636</v>
      </c>
      <c r="AF664" s="638">
        <f t="shared" si="208"/>
        <v>0</v>
      </c>
      <c r="AG664" s="639" t="s">
        <v>949</v>
      </c>
      <c r="AH664" s="498">
        <f t="shared" si="199"/>
        <v>1067.3733333333332</v>
      </c>
      <c r="AI664" s="500">
        <f t="shared" si="200"/>
        <v>965552</v>
      </c>
      <c r="AJ664" s="638">
        <f t="shared" si="209"/>
        <v>0</v>
      </c>
      <c r="AK664" s="639" t="s">
        <v>949</v>
      </c>
      <c r="AL664" s="500">
        <f t="shared" si="201"/>
        <v>1072.8355555555556</v>
      </c>
      <c r="AM664" s="495"/>
      <c r="AN664" s="496"/>
      <c r="AO664" s="495"/>
      <c r="AP664" s="496"/>
      <c r="AQ664" s="495"/>
      <c r="AR664" s="496"/>
      <c r="AS664" s="495"/>
      <c r="AT664" s="496"/>
      <c r="AU664" s="501">
        <f t="shared" si="202"/>
        <v>0</v>
      </c>
      <c r="AV664" s="498">
        <f t="shared" ref="AV664:AV723" si="230">+AU664/24</f>
        <v>0</v>
      </c>
      <c r="AW664" s="499">
        <f t="shared" si="203"/>
        <v>0</v>
      </c>
      <c r="AX664" s="500">
        <f t="shared" ref="AX664:AX723" si="231">+AW664/24</f>
        <v>0</v>
      </c>
      <c r="AY664" s="502">
        <f t="shared" si="204"/>
        <v>3091.4399999999996</v>
      </c>
      <c r="AZ664" s="500">
        <f t="shared" si="205"/>
        <v>3205.7688888888888</v>
      </c>
    </row>
    <row r="665" spans="1:52">
      <c r="A665" s="185" t="s">
        <v>792</v>
      </c>
      <c r="B665" s="506" t="s">
        <v>796</v>
      </c>
      <c r="C665" s="402">
        <v>232186</v>
      </c>
      <c r="D665" s="514">
        <v>1</v>
      </c>
      <c r="E665" s="162" t="s">
        <v>442</v>
      </c>
      <c r="F665" s="163" t="s">
        <v>442</v>
      </c>
      <c r="G665" s="79"/>
      <c r="H665" s="322"/>
      <c r="I665" s="79">
        <v>219914</v>
      </c>
      <c r="J665" s="322">
        <v>220129</v>
      </c>
      <c r="K665" s="79">
        <v>43298</v>
      </c>
      <c r="L665" s="322">
        <v>44618</v>
      </c>
      <c r="M665" s="79">
        <v>232256</v>
      </c>
      <c r="N665" s="322">
        <v>236127</v>
      </c>
      <c r="O665" s="323">
        <f t="shared" si="196"/>
        <v>495468</v>
      </c>
      <c r="P665" s="638">
        <f t="shared" si="206"/>
        <v>495468</v>
      </c>
      <c r="Q665" s="322">
        <v>0</v>
      </c>
      <c r="R665" s="90">
        <f t="shared" si="227"/>
        <v>16515.599999999999</v>
      </c>
      <c r="S665" s="324">
        <f t="shared" si="197"/>
        <v>500874</v>
      </c>
      <c r="T665" s="638">
        <f t="shared" si="207"/>
        <v>500874</v>
      </c>
      <c r="U665" s="322">
        <v>554</v>
      </c>
      <c r="V665" s="80">
        <f t="shared" si="228"/>
        <v>16695.8</v>
      </c>
      <c r="W665" s="79"/>
      <c r="X665" s="322"/>
      <c r="Y665" s="79"/>
      <c r="Z665" s="322"/>
      <c r="AA665" s="79"/>
      <c r="AB665" s="322"/>
      <c r="AC665" s="79"/>
      <c r="AD665" s="322"/>
      <c r="AE665" s="323">
        <f t="shared" si="198"/>
        <v>0</v>
      </c>
      <c r="AF665" s="638">
        <f t="shared" si="208"/>
        <v>0</v>
      </c>
      <c r="AG665" s="322"/>
      <c r="AH665" s="90">
        <f t="shared" si="199"/>
        <v>0</v>
      </c>
      <c r="AI665" s="80">
        <f t="shared" si="200"/>
        <v>0</v>
      </c>
      <c r="AJ665" s="638">
        <f t="shared" si="209"/>
        <v>0</v>
      </c>
      <c r="AK665" s="322"/>
      <c r="AL665" s="80">
        <f t="shared" si="201"/>
        <v>0</v>
      </c>
      <c r="AM665" s="79"/>
      <c r="AN665" s="322"/>
      <c r="AO665" s="79">
        <v>66784</v>
      </c>
      <c r="AP665" s="322">
        <v>68988.5</v>
      </c>
      <c r="AQ665" s="79">
        <v>20308.5</v>
      </c>
      <c r="AR665" s="322">
        <v>20129.5</v>
      </c>
      <c r="AS665" s="79">
        <v>68325</v>
      </c>
      <c r="AT665" s="322">
        <v>69080</v>
      </c>
      <c r="AU665" s="325">
        <f t="shared" si="202"/>
        <v>155417.5</v>
      </c>
      <c r="AV665" s="90">
        <f t="shared" si="230"/>
        <v>6475.729166666667</v>
      </c>
      <c r="AW665" s="324">
        <f t="shared" si="203"/>
        <v>158198</v>
      </c>
      <c r="AX665" s="80">
        <f t="shared" si="231"/>
        <v>6591.583333333333</v>
      </c>
      <c r="AY665" s="326">
        <f t="shared" si="204"/>
        <v>22991.329166666666</v>
      </c>
      <c r="AZ665" s="80">
        <f t="shared" si="205"/>
        <v>23287.383333333331</v>
      </c>
    </row>
    <row r="666" spans="1:52">
      <c r="A666" s="185" t="s">
        <v>792</v>
      </c>
      <c r="B666" s="180" t="s">
        <v>793</v>
      </c>
      <c r="C666" s="235">
        <v>234076</v>
      </c>
      <c r="D666" s="186">
        <v>1</v>
      </c>
      <c r="E666" s="162" t="s">
        <v>442</v>
      </c>
      <c r="F666" s="163" t="s">
        <v>442</v>
      </c>
      <c r="G666" s="79"/>
      <c r="H666" s="322"/>
      <c r="I666" s="79">
        <v>207940.5</v>
      </c>
      <c r="J666" s="322">
        <v>213191</v>
      </c>
      <c r="K666" s="79">
        <v>28418</v>
      </c>
      <c r="L666" s="322">
        <v>28682</v>
      </c>
      <c r="M666" s="79">
        <v>216697</v>
      </c>
      <c r="N666" s="322">
        <v>219549</v>
      </c>
      <c r="O666" s="323">
        <f t="shared" si="196"/>
        <v>453055.5</v>
      </c>
      <c r="P666" s="638">
        <f t="shared" si="206"/>
        <v>453055.5</v>
      </c>
      <c r="Q666" s="322">
        <v>0</v>
      </c>
      <c r="R666" s="90">
        <f t="shared" si="227"/>
        <v>15101.85</v>
      </c>
      <c r="S666" s="324">
        <f t="shared" si="197"/>
        <v>461422</v>
      </c>
      <c r="T666" s="638">
        <f t="shared" si="207"/>
        <v>461422</v>
      </c>
      <c r="U666" s="322"/>
      <c r="V666" s="80">
        <f t="shared" si="228"/>
        <v>15380.733333333334</v>
      </c>
      <c r="W666" s="79"/>
      <c r="X666" s="322"/>
      <c r="Y666" s="79"/>
      <c r="Z666" s="322"/>
      <c r="AA666" s="79"/>
      <c r="AB666" s="322"/>
      <c r="AC666" s="79"/>
      <c r="AD666" s="322"/>
      <c r="AE666" s="323">
        <f t="shared" si="198"/>
        <v>0</v>
      </c>
      <c r="AF666" s="638">
        <f t="shared" si="208"/>
        <v>0</v>
      </c>
      <c r="AG666" s="322"/>
      <c r="AH666" s="90">
        <f t="shared" si="199"/>
        <v>0</v>
      </c>
      <c r="AI666" s="80">
        <f t="shared" si="200"/>
        <v>0</v>
      </c>
      <c r="AJ666" s="638">
        <f t="shared" si="209"/>
        <v>0</v>
      </c>
      <c r="AK666" s="322"/>
      <c r="AL666" s="80">
        <f t="shared" si="201"/>
        <v>0</v>
      </c>
      <c r="AM666" s="79"/>
      <c r="AN666" s="322"/>
      <c r="AO666" s="79">
        <v>91510</v>
      </c>
      <c r="AP666" s="322">
        <v>92984</v>
      </c>
      <c r="AQ666" s="79">
        <v>24095.5</v>
      </c>
      <c r="AR666" s="322">
        <v>22639</v>
      </c>
      <c r="AS666" s="79">
        <v>84793</v>
      </c>
      <c r="AT666" s="322">
        <v>85698</v>
      </c>
      <c r="AU666" s="325">
        <f t="shared" si="202"/>
        <v>200398.5</v>
      </c>
      <c r="AV666" s="90">
        <f t="shared" si="230"/>
        <v>8349.9375</v>
      </c>
      <c r="AW666" s="324">
        <f t="shared" si="203"/>
        <v>201321</v>
      </c>
      <c r="AX666" s="80">
        <f t="shared" si="231"/>
        <v>8388.375</v>
      </c>
      <c r="AY666" s="326">
        <f t="shared" si="204"/>
        <v>23451.787499999999</v>
      </c>
      <c r="AZ666" s="80">
        <f t="shared" si="205"/>
        <v>23769.108333333334</v>
      </c>
    </row>
    <row r="667" spans="1:52">
      <c r="A667" s="185" t="s">
        <v>792</v>
      </c>
      <c r="B667" s="180" t="s">
        <v>794</v>
      </c>
      <c r="C667" s="235">
        <v>233921</v>
      </c>
      <c r="D667" s="186">
        <v>1</v>
      </c>
      <c r="E667" s="162" t="s">
        <v>442</v>
      </c>
      <c r="F667" s="163" t="s">
        <v>442</v>
      </c>
      <c r="G667" s="79"/>
      <c r="H667" s="322"/>
      <c r="I667" s="79">
        <v>318571</v>
      </c>
      <c r="J667" s="322">
        <v>330036</v>
      </c>
      <c r="K667" s="79">
        <v>34904</v>
      </c>
      <c r="L667" s="322">
        <v>35927</v>
      </c>
      <c r="M667" s="79">
        <v>345995</v>
      </c>
      <c r="N667" s="322">
        <v>358013</v>
      </c>
      <c r="O667" s="323">
        <f t="shared" si="196"/>
        <v>699470</v>
      </c>
      <c r="P667" s="638">
        <f t="shared" si="206"/>
        <v>699470</v>
      </c>
      <c r="Q667" s="322">
        <v>0</v>
      </c>
      <c r="R667" s="90">
        <f t="shared" si="227"/>
        <v>23315.666666666668</v>
      </c>
      <c r="S667" s="324">
        <f t="shared" si="197"/>
        <v>723976</v>
      </c>
      <c r="T667" s="638">
        <f t="shared" si="207"/>
        <v>723976</v>
      </c>
      <c r="U667" s="322"/>
      <c r="V667" s="80">
        <f t="shared" si="228"/>
        <v>24132.533333333333</v>
      </c>
      <c r="W667" s="79"/>
      <c r="X667" s="322"/>
      <c r="Y667" s="79"/>
      <c r="Z667" s="322"/>
      <c r="AA667" s="79"/>
      <c r="AB667" s="322"/>
      <c r="AC667" s="79"/>
      <c r="AD667" s="322"/>
      <c r="AE667" s="323">
        <f t="shared" si="198"/>
        <v>0</v>
      </c>
      <c r="AF667" s="638">
        <f t="shared" si="208"/>
        <v>0</v>
      </c>
      <c r="AG667" s="322"/>
      <c r="AH667" s="90">
        <f t="shared" si="199"/>
        <v>0</v>
      </c>
      <c r="AI667" s="80">
        <f t="shared" si="200"/>
        <v>0</v>
      </c>
      <c r="AJ667" s="638">
        <f t="shared" si="209"/>
        <v>0</v>
      </c>
      <c r="AK667" s="322"/>
      <c r="AL667" s="80">
        <f t="shared" si="201"/>
        <v>0</v>
      </c>
      <c r="AM667" s="79"/>
      <c r="AN667" s="322"/>
      <c r="AO667" s="79">
        <v>57425</v>
      </c>
      <c r="AP667" s="322">
        <v>60456</v>
      </c>
      <c r="AQ667" s="79">
        <v>8571</v>
      </c>
      <c r="AR667" s="322">
        <v>8386</v>
      </c>
      <c r="AS667" s="79">
        <v>64617</v>
      </c>
      <c r="AT667" s="322">
        <v>65922</v>
      </c>
      <c r="AU667" s="325">
        <f t="shared" si="202"/>
        <v>130613</v>
      </c>
      <c r="AV667" s="90">
        <f t="shared" si="230"/>
        <v>5442.208333333333</v>
      </c>
      <c r="AW667" s="324">
        <f t="shared" si="203"/>
        <v>134764</v>
      </c>
      <c r="AX667" s="80">
        <f t="shared" si="231"/>
        <v>5615.166666666667</v>
      </c>
      <c r="AY667" s="326">
        <f t="shared" si="204"/>
        <v>28757.875</v>
      </c>
      <c r="AZ667" s="80">
        <f t="shared" si="205"/>
        <v>29747.7</v>
      </c>
    </row>
    <row r="668" spans="1:52">
      <c r="A668" s="185" t="s">
        <v>792</v>
      </c>
      <c r="B668" s="180" t="s">
        <v>795</v>
      </c>
      <c r="C668" s="235">
        <v>231624</v>
      </c>
      <c r="D668" s="186">
        <v>2</v>
      </c>
      <c r="E668" s="162" t="s">
        <v>442</v>
      </c>
      <c r="F668" s="163" t="s">
        <v>442</v>
      </c>
      <c r="G668" s="79"/>
      <c r="H668" s="322"/>
      <c r="I668" s="79">
        <v>79730</v>
      </c>
      <c r="J668" s="322">
        <v>79503.5</v>
      </c>
      <c r="K668" s="79">
        <v>5222</v>
      </c>
      <c r="L668" s="322">
        <v>5379</v>
      </c>
      <c r="M668" s="79">
        <v>83718</v>
      </c>
      <c r="N668" s="322">
        <v>84133</v>
      </c>
      <c r="O668" s="323">
        <f t="shared" si="196"/>
        <v>168670</v>
      </c>
      <c r="P668" s="638">
        <f t="shared" si="206"/>
        <v>168670</v>
      </c>
      <c r="Q668" s="322">
        <v>0</v>
      </c>
      <c r="R668" s="90">
        <f t="shared" si="227"/>
        <v>5622.333333333333</v>
      </c>
      <c r="S668" s="324">
        <f t="shared" si="197"/>
        <v>169015.5</v>
      </c>
      <c r="T668" s="638">
        <f t="shared" si="207"/>
        <v>169015.5</v>
      </c>
      <c r="U668" s="322"/>
      <c r="V668" s="80">
        <f t="shared" si="228"/>
        <v>5633.85</v>
      </c>
      <c r="W668" s="79"/>
      <c r="X668" s="322"/>
      <c r="Y668" s="79"/>
      <c r="Z668" s="322"/>
      <c r="AA668" s="79"/>
      <c r="AB668" s="322"/>
      <c r="AC668" s="79"/>
      <c r="AD668" s="322"/>
      <c r="AE668" s="323">
        <f t="shared" si="198"/>
        <v>0</v>
      </c>
      <c r="AF668" s="638">
        <f t="shared" si="208"/>
        <v>0</v>
      </c>
      <c r="AG668" s="322"/>
      <c r="AH668" s="90">
        <f t="shared" si="199"/>
        <v>0</v>
      </c>
      <c r="AI668" s="80">
        <f t="shared" si="200"/>
        <v>0</v>
      </c>
      <c r="AJ668" s="638">
        <f t="shared" si="209"/>
        <v>0</v>
      </c>
      <c r="AK668" s="322"/>
      <c r="AL668" s="80">
        <f t="shared" si="201"/>
        <v>0</v>
      </c>
      <c r="AM668" s="79"/>
      <c r="AN668" s="322"/>
      <c r="AO668" s="79">
        <v>22369</v>
      </c>
      <c r="AP668" s="322">
        <v>22732.5</v>
      </c>
      <c r="AQ668" s="79">
        <v>5434.5</v>
      </c>
      <c r="AR668" s="322">
        <v>5343.5</v>
      </c>
      <c r="AS668" s="79">
        <v>23147</v>
      </c>
      <c r="AT668" s="322">
        <v>23617</v>
      </c>
      <c r="AU668" s="325">
        <f t="shared" si="202"/>
        <v>50950.5</v>
      </c>
      <c r="AV668" s="90">
        <f t="shared" si="230"/>
        <v>2122.9375</v>
      </c>
      <c r="AW668" s="324">
        <f t="shared" si="203"/>
        <v>51693</v>
      </c>
      <c r="AX668" s="80">
        <f t="shared" si="231"/>
        <v>2153.875</v>
      </c>
      <c r="AY668" s="326">
        <f t="shared" si="204"/>
        <v>7745.270833333333</v>
      </c>
      <c r="AZ668" s="80">
        <f t="shared" si="205"/>
        <v>7787.7250000000004</v>
      </c>
    </row>
    <row r="669" spans="1:52">
      <c r="A669" s="185" t="s">
        <v>792</v>
      </c>
      <c r="B669" s="403" t="s">
        <v>797</v>
      </c>
      <c r="C669" s="402">
        <v>232982</v>
      </c>
      <c r="D669" s="186">
        <v>2</v>
      </c>
      <c r="E669" s="162" t="s">
        <v>442</v>
      </c>
      <c r="F669" s="163" t="s">
        <v>442</v>
      </c>
      <c r="G669" s="79"/>
      <c r="H669" s="322"/>
      <c r="I669" s="79">
        <v>169133.5</v>
      </c>
      <c r="J669" s="322">
        <v>179804.5</v>
      </c>
      <c r="K669" s="79">
        <v>42402</v>
      </c>
      <c r="L669" s="322">
        <v>44342</v>
      </c>
      <c r="M669" s="79">
        <v>189802</v>
      </c>
      <c r="N669" s="322">
        <v>205704</v>
      </c>
      <c r="O669" s="323">
        <f t="shared" si="196"/>
        <v>401337.5</v>
      </c>
      <c r="P669" s="638">
        <f t="shared" si="206"/>
        <v>401337.5</v>
      </c>
      <c r="Q669" s="322">
        <v>90</v>
      </c>
      <c r="R669" s="90">
        <f t="shared" si="227"/>
        <v>13377.916666666666</v>
      </c>
      <c r="S669" s="324">
        <f t="shared" si="197"/>
        <v>429850.5</v>
      </c>
      <c r="T669" s="638">
        <f t="shared" si="207"/>
        <v>429850.5</v>
      </c>
      <c r="U669" s="322">
        <v>136</v>
      </c>
      <c r="V669" s="80">
        <f t="shared" si="228"/>
        <v>14328.35</v>
      </c>
      <c r="W669" s="79"/>
      <c r="X669" s="322"/>
      <c r="Y669" s="79"/>
      <c r="Z669" s="322"/>
      <c r="AA669" s="79"/>
      <c r="AB669" s="322"/>
      <c r="AC669" s="79"/>
      <c r="AD669" s="322"/>
      <c r="AE669" s="323">
        <f t="shared" si="198"/>
        <v>0</v>
      </c>
      <c r="AF669" s="638">
        <f t="shared" si="208"/>
        <v>0</v>
      </c>
      <c r="AG669" s="322"/>
      <c r="AH669" s="90">
        <f t="shared" si="199"/>
        <v>0</v>
      </c>
      <c r="AI669" s="80">
        <f t="shared" si="200"/>
        <v>0</v>
      </c>
      <c r="AJ669" s="638">
        <f t="shared" si="209"/>
        <v>0</v>
      </c>
      <c r="AK669" s="322"/>
      <c r="AL669" s="80">
        <f t="shared" si="201"/>
        <v>0</v>
      </c>
      <c r="AM669" s="79"/>
      <c r="AN669" s="322"/>
      <c r="AO669" s="79">
        <v>30256</v>
      </c>
      <c r="AP669" s="322">
        <v>30130</v>
      </c>
      <c r="AQ669" s="79">
        <v>18355</v>
      </c>
      <c r="AR669" s="322">
        <v>17989</v>
      </c>
      <c r="AS669" s="79">
        <v>35222</v>
      </c>
      <c r="AT669" s="322">
        <v>33552</v>
      </c>
      <c r="AU669" s="325">
        <f t="shared" si="202"/>
        <v>83833</v>
      </c>
      <c r="AV669" s="90">
        <f t="shared" si="230"/>
        <v>3493.0416666666665</v>
      </c>
      <c r="AW669" s="324">
        <f t="shared" si="203"/>
        <v>81671</v>
      </c>
      <c r="AX669" s="80">
        <f t="shared" si="231"/>
        <v>3402.9583333333335</v>
      </c>
      <c r="AY669" s="326">
        <f t="shared" si="204"/>
        <v>16870.958333333332</v>
      </c>
      <c r="AZ669" s="80">
        <f t="shared" si="205"/>
        <v>17731.308333333334</v>
      </c>
    </row>
    <row r="670" spans="1:52">
      <c r="A670" s="185" t="s">
        <v>792</v>
      </c>
      <c r="B670" s="180" t="s">
        <v>798</v>
      </c>
      <c r="C670" s="235">
        <v>234030</v>
      </c>
      <c r="D670" s="186">
        <v>2</v>
      </c>
      <c r="E670" s="162" t="s">
        <v>442</v>
      </c>
      <c r="F670" s="163" t="s">
        <v>442</v>
      </c>
      <c r="G670" s="79"/>
      <c r="H670" s="322"/>
      <c r="I670" s="79">
        <v>254614.5</v>
      </c>
      <c r="J670" s="322">
        <v>268479.5</v>
      </c>
      <c r="K670" s="79">
        <v>41453</v>
      </c>
      <c r="L670" s="322">
        <v>42855.5</v>
      </c>
      <c r="M670" s="79">
        <v>282975</v>
      </c>
      <c r="N670" s="322">
        <v>295423</v>
      </c>
      <c r="O670" s="323">
        <f t="shared" si="196"/>
        <v>579042.5</v>
      </c>
      <c r="P670" s="638">
        <f t="shared" si="206"/>
        <v>579042.5</v>
      </c>
      <c r="Q670" s="322">
        <v>2376</v>
      </c>
      <c r="R670" s="90">
        <f t="shared" si="227"/>
        <v>19301.416666666668</v>
      </c>
      <c r="S670" s="324">
        <f t="shared" si="197"/>
        <v>606758</v>
      </c>
      <c r="T670" s="638">
        <f t="shared" si="207"/>
        <v>606758</v>
      </c>
      <c r="U670" s="322">
        <v>2785</v>
      </c>
      <c r="V670" s="80">
        <f t="shared" si="228"/>
        <v>20225.266666666666</v>
      </c>
      <c r="W670" s="79"/>
      <c r="X670" s="322"/>
      <c r="Y670" s="79"/>
      <c r="Z670" s="322"/>
      <c r="AA670" s="79"/>
      <c r="AB670" s="322"/>
      <c r="AC670" s="79"/>
      <c r="AD670" s="322"/>
      <c r="AE670" s="323">
        <f t="shared" si="198"/>
        <v>0</v>
      </c>
      <c r="AF670" s="638">
        <f t="shared" si="208"/>
        <v>0</v>
      </c>
      <c r="AG670" s="322"/>
      <c r="AH670" s="90">
        <f t="shared" si="199"/>
        <v>0</v>
      </c>
      <c r="AI670" s="80">
        <f t="shared" si="200"/>
        <v>0</v>
      </c>
      <c r="AJ670" s="638">
        <f t="shared" si="209"/>
        <v>0</v>
      </c>
      <c r="AK670" s="322"/>
      <c r="AL670" s="80">
        <f t="shared" si="201"/>
        <v>0</v>
      </c>
      <c r="AM670" s="79"/>
      <c r="AN670" s="322"/>
      <c r="AO670" s="79">
        <v>58100</v>
      </c>
      <c r="AP670" s="322">
        <v>61235.5</v>
      </c>
      <c r="AQ670" s="79">
        <v>20757</v>
      </c>
      <c r="AR670" s="322">
        <v>17136.5</v>
      </c>
      <c r="AS670" s="79">
        <v>66019</v>
      </c>
      <c r="AT670" s="322">
        <v>67012</v>
      </c>
      <c r="AU670" s="325">
        <f t="shared" si="202"/>
        <v>144876</v>
      </c>
      <c r="AV670" s="90">
        <f t="shared" si="230"/>
        <v>6036.5</v>
      </c>
      <c r="AW670" s="324">
        <f t="shared" si="203"/>
        <v>145384</v>
      </c>
      <c r="AX670" s="80">
        <f t="shared" si="231"/>
        <v>6057.666666666667</v>
      </c>
      <c r="AY670" s="326">
        <f t="shared" si="204"/>
        <v>25337.916666666668</v>
      </c>
      <c r="AZ670" s="80">
        <f t="shared" si="205"/>
        <v>26282.933333333334</v>
      </c>
    </row>
    <row r="671" spans="1:52">
      <c r="A671" s="185" t="s">
        <v>792</v>
      </c>
      <c r="B671" s="180" t="s">
        <v>799</v>
      </c>
      <c r="C671" s="235">
        <v>232423</v>
      </c>
      <c r="D671" s="186">
        <v>3</v>
      </c>
      <c r="E671" s="162" t="s">
        <v>442</v>
      </c>
      <c r="F671" s="163" t="s">
        <v>442</v>
      </c>
      <c r="G671" s="79"/>
      <c r="H671" s="322"/>
      <c r="I671" s="79">
        <v>221432</v>
      </c>
      <c r="J671" s="322">
        <v>226989</v>
      </c>
      <c r="K671" s="79">
        <v>24445</v>
      </c>
      <c r="L671" s="322">
        <v>24679</v>
      </c>
      <c r="M671" s="79">
        <v>240208</v>
      </c>
      <c r="N671" s="322">
        <v>248014</v>
      </c>
      <c r="O671" s="323">
        <f t="shared" si="196"/>
        <v>486085</v>
      </c>
      <c r="P671" s="638">
        <f t="shared" si="206"/>
        <v>486085</v>
      </c>
      <c r="Q671" s="322">
        <v>1408</v>
      </c>
      <c r="R671" s="90">
        <f t="shared" si="227"/>
        <v>16202.833333333334</v>
      </c>
      <c r="S671" s="324">
        <f t="shared" si="197"/>
        <v>499682</v>
      </c>
      <c r="T671" s="638">
        <f t="shared" si="207"/>
        <v>499682</v>
      </c>
      <c r="U671" s="322">
        <v>1026</v>
      </c>
      <c r="V671" s="80">
        <f t="shared" si="228"/>
        <v>16656.066666666666</v>
      </c>
      <c r="W671" s="79"/>
      <c r="X671" s="322"/>
      <c r="Y671" s="79"/>
      <c r="Z671" s="322"/>
      <c r="AA671" s="79"/>
      <c r="AB671" s="322"/>
      <c r="AC671" s="79"/>
      <c r="AD671" s="322"/>
      <c r="AE671" s="323">
        <f t="shared" si="198"/>
        <v>0</v>
      </c>
      <c r="AF671" s="638">
        <f t="shared" si="208"/>
        <v>0</v>
      </c>
      <c r="AG671" s="322"/>
      <c r="AH671" s="90">
        <f t="shared" si="199"/>
        <v>0</v>
      </c>
      <c r="AI671" s="80">
        <f t="shared" si="200"/>
        <v>0</v>
      </c>
      <c r="AJ671" s="638">
        <f t="shared" si="209"/>
        <v>0</v>
      </c>
      <c r="AK671" s="322"/>
      <c r="AL671" s="80">
        <f t="shared" si="201"/>
        <v>0</v>
      </c>
      <c r="AM671" s="79"/>
      <c r="AN671" s="322"/>
      <c r="AO671" s="79">
        <v>9972</v>
      </c>
      <c r="AP671" s="322">
        <v>10907</v>
      </c>
      <c r="AQ671" s="79">
        <v>6396</v>
      </c>
      <c r="AR671" s="322">
        <v>6822</v>
      </c>
      <c r="AS671" s="79">
        <v>12137</v>
      </c>
      <c r="AT671" s="322">
        <v>12420</v>
      </c>
      <c r="AU671" s="325">
        <f t="shared" si="202"/>
        <v>28505</v>
      </c>
      <c r="AV671" s="90">
        <f t="shared" si="230"/>
        <v>1187.7083333333333</v>
      </c>
      <c r="AW671" s="324">
        <f t="shared" si="203"/>
        <v>30149</v>
      </c>
      <c r="AX671" s="80">
        <f t="shared" si="231"/>
        <v>1256.2083333333333</v>
      </c>
      <c r="AY671" s="326">
        <f t="shared" si="204"/>
        <v>17390.541666666668</v>
      </c>
      <c r="AZ671" s="80">
        <f t="shared" si="205"/>
        <v>17912.274999999998</v>
      </c>
    </row>
    <row r="672" spans="1:52">
      <c r="A672" s="185" t="s">
        <v>792</v>
      </c>
      <c r="B672" s="403" t="s">
        <v>800</v>
      </c>
      <c r="C672" s="235">
        <v>233277</v>
      </c>
      <c r="D672" s="186">
        <v>3</v>
      </c>
      <c r="E672" s="162" t="s">
        <v>442</v>
      </c>
      <c r="F672" s="163" t="s">
        <v>442</v>
      </c>
      <c r="G672" s="79"/>
      <c r="H672" s="322"/>
      <c r="I672" s="79">
        <v>108695</v>
      </c>
      <c r="J672" s="322">
        <v>108160</v>
      </c>
      <c r="K672" s="79">
        <v>13846</v>
      </c>
      <c r="L672" s="322">
        <v>13292</v>
      </c>
      <c r="M672" s="79">
        <v>117585</v>
      </c>
      <c r="N672" s="322">
        <v>119539</v>
      </c>
      <c r="O672" s="323">
        <f t="shared" si="196"/>
        <v>240126</v>
      </c>
      <c r="P672" s="638">
        <f t="shared" si="206"/>
        <v>240126</v>
      </c>
      <c r="Q672" s="322">
        <v>8</v>
      </c>
      <c r="R672" s="90">
        <f t="shared" si="227"/>
        <v>8004.2</v>
      </c>
      <c r="S672" s="324">
        <f t="shared" si="197"/>
        <v>240991</v>
      </c>
      <c r="T672" s="638">
        <f t="shared" si="207"/>
        <v>240991</v>
      </c>
      <c r="U672" s="322">
        <v>0</v>
      </c>
      <c r="V672" s="80">
        <f t="shared" si="228"/>
        <v>8033.0333333333338</v>
      </c>
      <c r="W672" s="79"/>
      <c r="X672" s="322"/>
      <c r="Y672" s="79"/>
      <c r="Z672" s="322"/>
      <c r="AA672" s="79"/>
      <c r="AB672" s="322"/>
      <c r="AC672" s="79"/>
      <c r="AD672" s="322"/>
      <c r="AE672" s="323">
        <f t="shared" si="198"/>
        <v>0</v>
      </c>
      <c r="AF672" s="638">
        <f t="shared" si="208"/>
        <v>0</v>
      </c>
      <c r="AG672" s="322"/>
      <c r="AH672" s="90">
        <f t="shared" si="199"/>
        <v>0</v>
      </c>
      <c r="AI672" s="80">
        <f t="shared" si="200"/>
        <v>0</v>
      </c>
      <c r="AJ672" s="638">
        <f t="shared" si="209"/>
        <v>0</v>
      </c>
      <c r="AK672" s="322"/>
      <c r="AL672" s="80">
        <f t="shared" si="201"/>
        <v>0</v>
      </c>
      <c r="AM672" s="79"/>
      <c r="AN672" s="322"/>
      <c r="AO672" s="79">
        <v>7787</v>
      </c>
      <c r="AP672" s="322">
        <v>7811</v>
      </c>
      <c r="AQ672" s="79">
        <v>4440</v>
      </c>
      <c r="AR672" s="322">
        <v>4089</v>
      </c>
      <c r="AS672" s="79">
        <v>8101</v>
      </c>
      <c r="AT672" s="322">
        <v>7488</v>
      </c>
      <c r="AU672" s="325">
        <f t="shared" si="202"/>
        <v>20328</v>
      </c>
      <c r="AV672" s="90">
        <f t="shared" si="230"/>
        <v>847</v>
      </c>
      <c r="AW672" s="324">
        <f t="shared" si="203"/>
        <v>19388</v>
      </c>
      <c r="AX672" s="80">
        <f t="shared" si="231"/>
        <v>807.83333333333337</v>
      </c>
      <c r="AY672" s="326">
        <f t="shared" si="204"/>
        <v>8851.2000000000007</v>
      </c>
      <c r="AZ672" s="80">
        <f t="shared" si="205"/>
        <v>8840.8666666666668</v>
      </c>
    </row>
    <row r="673" spans="1:52">
      <c r="A673" s="185" t="s">
        <v>792</v>
      </c>
      <c r="B673" s="403" t="s">
        <v>801</v>
      </c>
      <c r="C673" s="235">
        <v>231712</v>
      </c>
      <c r="D673" s="186">
        <v>4</v>
      </c>
      <c r="E673" s="162" t="s">
        <v>442</v>
      </c>
      <c r="F673" s="163" t="s">
        <v>442</v>
      </c>
      <c r="G673" s="79"/>
      <c r="H673" s="322"/>
      <c r="I673" s="79">
        <v>61747</v>
      </c>
      <c r="J673" s="322">
        <v>64515</v>
      </c>
      <c r="K673" s="79">
        <v>3795</v>
      </c>
      <c r="L673" s="322">
        <v>3467</v>
      </c>
      <c r="M673" s="79">
        <v>67723</v>
      </c>
      <c r="N673" s="322">
        <v>69310</v>
      </c>
      <c r="O673" s="323">
        <f t="shared" si="196"/>
        <v>133265</v>
      </c>
      <c r="P673" s="638">
        <f t="shared" si="206"/>
        <v>133265</v>
      </c>
      <c r="Q673" s="322">
        <v>29</v>
      </c>
      <c r="R673" s="90">
        <f t="shared" si="227"/>
        <v>4442.166666666667</v>
      </c>
      <c r="S673" s="324">
        <f t="shared" si="197"/>
        <v>137292</v>
      </c>
      <c r="T673" s="638">
        <f t="shared" si="207"/>
        <v>137292</v>
      </c>
      <c r="U673" s="322">
        <v>94</v>
      </c>
      <c r="V673" s="80">
        <f t="shared" si="228"/>
        <v>4576.3999999999996</v>
      </c>
      <c r="W673" s="79"/>
      <c r="X673" s="322"/>
      <c r="Y673" s="79"/>
      <c r="Z673" s="322"/>
      <c r="AA673" s="79"/>
      <c r="AB673" s="322"/>
      <c r="AC673" s="79"/>
      <c r="AD673" s="322"/>
      <c r="AE673" s="323">
        <f t="shared" si="198"/>
        <v>0</v>
      </c>
      <c r="AF673" s="638">
        <f t="shared" si="208"/>
        <v>0</v>
      </c>
      <c r="AG673" s="322"/>
      <c r="AH673" s="90">
        <f t="shared" si="199"/>
        <v>0</v>
      </c>
      <c r="AI673" s="80">
        <f t="shared" si="200"/>
        <v>0</v>
      </c>
      <c r="AJ673" s="638">
        <f t="shared" si="209"/>
        <v>0</v>
      </c>
      <c r="AK673" s="322"/>
      <c r="AL673" s="80">
        <f t="shared" si="201"/>
        <v>0</v>
      </c>
      <c r="AM673" s="79"/>
      <c r="AN673" s="322"/>
      <c r="AO673" s="79">
        <v>1150</v>
      </c>
      <c r="AP673" s="322">
        <v>1122</v>
      </c>
      <c r="AQ673" s="79">
        <v>772</v>
      </c>
      <c r="AR673" s="322">
        <v>836</v>
      </c>
      <c r="AS673" s="79">
        <v>1179</v>
      </c>
      <c r="AT673" s="322">
        <v>1066</v>
      </c>
      <c r="AU673" s="325">
        <f t="shared" si="202"/>
        <v>3101</v>
      </c>
      <c r="AV673" s="90">
        <f t="shared" si="230"/>
        <v>129.20833333333334</v>
      </c>
      <c r="AW673" s="324">
        <f t="shared" si="203"/>
        <v>3024</v>
      </c>
      <c r="AX673" s="80">
        <f t="shared" si="231"/>
        <v>126</v>
      </c>
      <c r="AY673" s="326">
        <f t="shared" si="204"/>
        <v>4571.375</v>
      </c>
      <c r="AZ673" s="80">
        <f t="shared" si="205"/>
        <v>4702.3999999999996</v>
      </c>
    </row>
    <row r="674" spans="1:52">
      <c r="A674" s="185" t="s">
        <v>792</v>
      </c>
      <c r="B674" s="403" t="s">
        <v>802</v>
      </c>
      <c r="C674" s="235">
        <v>232937</v>
      </c>
      <c r="D674" s="186">
        <v>4</v>
      </c>
      <c r="E674" s="162" t="s">
        <v>442</v>
      </c>
      <c r="F674" s="163" t="s">
        <v>442</v>
      </c>
      <c r="G674" s="79"/>
      <c r="H674" s="322"/>
      <c r="I674" s="79">
        <v>61357</v>
      </c>
      <c r="J674" s="322">
        <v>63301</v>
      </c>
      <c r="K674" s="79">
        <v>7212</v>
      </c>
      <c r="L674" s="322">
        <v>7578</v>
      </c>
      <c r="M674" s="79">
        <v>68044</v>
      </c>
      <c r="N674" s="322">
        <v>72561</v>
      </c>
      <c r="O674" s="323">
        <f t="shared" si="196"/>
        <v>136613</v>
      </c>
      <c r="P674" s="638">
        <f t="shared" si="206"/>
        <v>136613</v>
      </c>
      <c r="Q674" s="322">
        <v>120</v>
      </c>
      <c r="R674" s="90">
        <f t="shared" si="227"/>
        <v>4553.7666666666664</v>
      </c>
      <c r="S674" s="324">
        <f t="shared" si="197"/>
        <v>143440</v>
      </c>
      <c r="T674" s="638">
        <f t="shared" si="207"/>
        <v>143440</v>
      </c>
      <c r="U674" s="322">
        <v>39</v>
      </c>
      <c r="V674" s="80">
        <f t="shared" si="228"/>
        <v>4781.333333333333</v>
      </c>
      <c r="W674" s="79"/>
      <c r="X674" s="322"/>
      <c r="Y674" s="79"/>
      <c r="Z674" s="322"/>
      <c r="AA674" s="79"/>
      <c r="AB674" s="322"/>
      <c r="AC674" s="79"/>
      <c r="AD674" s="322"/>
      <c r="AE674" s="323">
        <f t="shared" si="198"/>
        <v>0</v>
      </c>
      <c r="AF674" s="638">
        <f t="shared" si="208"/>
        <v>0</v>
      </c>
      <c r="AG674" s="322"/>
      <c r="AH674" s="90">
        <f t="shared" si="199"/>
        <v>0</v>
      </c>
      <c r="AI674" s="80">
        <f t="shared" si="200"/>
        <v>0</v>
      </c>
      <c r="AJ674" s="638">
        <f t="shared" si="209"/>
        <v>0</v>
      </c>
      <c r="AK674" s="322"/>
      <c r="AL674" s="80">
        <f t="shared" si="201"/>
        <v>0</v>
      </c>
      <c r="AM674" s="79"/>
      <c r="AN674" s="322"/>
      <c r="AO674" s="79">
        <v>5607</v>
      </c>
      <c r="AP674" s="322">
        <v>5628</v>
      </c>
      <c r="AQ674" s="79">
        <v>1419</v>
      </c>
      <c r="AR674" s="322">
        <v>1490</v>
      </c>
      <c r="AS674" s="79">
        <v>5607</v>
      </c>
      <c r="AT674" s="322">
        <v>5225</v>
      </c>
      <c r="AU674" s="325">
        <f t="shared" si="202"/>
        <v>12633</v>
      </c>
      <c r="AV674" s="90">
        <f t="shared" si="230"/>
        <v>526.375</v>
      </c>
      <c r="AW674" s="324">
        <f t="shared" si="203"/>
        <v>12343</v>
      </c>
      <c r="AX674" s="80">
        <f t="shared" si="231"/>
        <v>514.29166666666663</v>
      </c>
      <c r="AY674" s="326">
        <f t="shared" si="204"/>
        <v>5080.1416666666664</v>
      </c>
      <c r="AZ674" s="80">
        <f t="shared" si="205"/>
        <v>5295.625</v>
      </c>
    </row>
    <row r="675" spans="1:52">
      <c r="A675" s="185" t="s">
        <v>792</v>
      </c>
      <c r="B675" s="403" t="s">
        <v>803</v>
      </c>
      <c r="C675" s="235">
        <v>234155</v>
      </c>
      <c r="D675" s="186">
        <v>4</v>
      </c>
      <c r="E675" s="162" t="s">
        <v>442</v>
      </c>
      <c r="F675" s="163" t="s">
        <v>442</v>
      </c>
      <c r="G675" s="79"/>
      <c r="H675" s="322"/>
      <c r="I675" s="79">
        <v>62329</v>
      </c>
      <c r="J675" s="322">
        <v>56311</v>
      </c>
      <c r="K675" s="79">
        <v>5547</v>
      </c>
      <c r="L675" s="322">
        <v>4202</v>
      </c>
      <c r="M675" s="79">
        <v>63085</v>
      </c>
      <c r="N675" s="322">
        <v>64940</v>
      </c>
      <c r="O675" s="323">
        <f t="shared" si="196"/>
        <v>130961</v>
      </c>
      <c r="P675" s="638">
        <f t="shared" si="206"/>
        <v>130961</v>
      </c>
      <c r="Q675" s="322">
        <v>0</v>
      </c>
      <c r="R675" s="90">
        <f t="shared" si="227"/>
        <v>4365.3666666666668</v>
      </c>
      <c r="S675" s="324">
        <f t="shared" si="197"/>
        <v>125453</v>
      </c>
      <c r="T675" s="638">
        <f t="shared" si="207"/>
        <v>125453</v>
      </c>
      <c r="U675" s="322"/>
      <c r="V675" s="80">
        <f t="shared" si="228"/>
        <v>4181.7666666666664</v>
      </c>
      <c r="W675" s="79"/>
      <c r="X675" s="322"/>
      <c r="Y675" s="79"/>
      <c r="Z675" s="322"/>
      <c r="AA675" s="79"/>
      <c r="AB675" s="322"/>
      <c r="AC675" s="79"/>
      <c r="AD675" s="322"/>
      <c r="AE675" s="323">
        <f t="shared" si="198"/>
        <v>0</v>
      </c>
      <c r="AF675" s="638">
        <f t="shared" si="208"/>
        <v>0</v>
      </c>
      <c r="AG675" s="322"/>
      <c r="AH675" s="90">
        <f t="shared" si="199"/>
        <v>0</v>
      </c>
      <c r="AI675" s="80">
        <f t="shared" si="200"/>
        <v>0</v>
      </c>
      <c r="AJ675" s="638">
        <f t="shared" si="209"/>
        <v>0</v>
      </c>
      <c r="AK675" s="322"/>
      <c r="AL675" s="80">
        <f t="shared" si="201"/>
        <v>0</v>
      </c>
      <c r="AM675" s="79"/>
      <c r="AN675" s="322"/>
      <c r="AO675" s="79">
        <v>3167</v>
      </c>
      <c r="AP675" s="322">
        <v>2866</v>
      </c>
      <c r="AQ675" s="79">
        <v>1512</v>
      </c>
      <c r="AR675" s="322">
        <v>1280</v>
      </c>
      <c r="AS675" s="79">
        <v>3141</v>
      </c>
      <c r="AT675" s="322">
        <v>3434</v>
      </c>
      <c r="AU675" s="325">
        <f t="shared" si="202"/>
        <v>7820</v>
      </c>
      <c r="AV675" s="90">
        <f t="shared" si="230"/>
        <v>325.83333333333331</v>
      </c>
      <c r="AW675" s="324">
        <f t="shared" si="203"/>
        <v>7580</v>
      </c>
      <c r="AX675" s="80">
        <f t="shared" si="231"/>
        <v>315.83333333333331</v>
      </c>
      <c r="AY675" s="326">
        <f t="shared" si="204"/>
        <v>4691.2</v>
      </c>
      <c r="AZ675" s="80">
        <f t="shared" si="205"/>
        <v>4497.5999999999995</v>
      </c>
    </row>
    <row r="676" spans="1:52">
      <c r="A676" s="185" t="s">
        <v>792</v>
      </c>
      <c r="B676" s="403" t="s">
        <v>804</v>
      </c>
      <c r="C676" s="235">
        <v>232566</v>
      </c>
      <c r="D676" s="186">
        <v>5</v>
      </c>
      <c r="E676" s="162" t="s">
        <v>442</v>
      </c>
      <c r="F676" s="163" t="s">
        <v>442</v>
      </c>
      <c r="G676" s="79"/>
      <c r="H676" s="322"/>
      <c r="I676" s="79">
        <v>51551</v>
      </c>
      <c r="J676" s="322">
        <v>51535</v>
      </c>
      <c r="K676" s="79">
        <v>7328</v>
      </c>
      <c r="L676" s="322">
        <v>7528</v>
      </c>
      <c r="M676" s="79">
        <v>57535</v>
      </c>
      <c r="N676" s="322">
        <v>57950</v>
      </c>
      <c r="O676" s="323">
        <f t="shared" si="196"/>
        <v>116414</v>
      </c>
      <c r="P676" s="638">
        <f t="shared" si="206"/>
        <v>116414</v>
      </c>
      <c r="Q676" s="322">
        <v>35</v>
      </c>
      <c r="R676" s="90">
        <f t="shared" si="227"/>
        <v>3880.4666666666667</v>
      </c>
      <c r="S676" s="324">
        <f t="shared" si="197"/>
        <v>117013</v>
      </c>
      <c r="T676" s="638">
        <f t="shared" si="207"/>
        <v>117013</v>
      </c>
      <c r="U676" s="322">
        <v>4</v>
      </c>
      <c r="V676" s="80">
        <f t="shared" si="228"/>
        <v>3900.4333333333334</v>
      </c>
      <c r="W676" s="79"/>
      <c r="X676" s="322"/>
      <c r="Y676" s="79"/>
      <c r="Z676" s="322"/>
      <c r="AA676" s="79"/>
      <c r="AB676" s="322"/>
      <c r="AC676" s="79"/>
      <c r="AD676" s="322"/>
      <c r="AE676" s="323">
        <f t="shared" si="198"/>
        <v>0</v>
      </c>
      <c r="AF676" s="638">
        <f t="shared" si="208"/>
        <v>0</v>
      </c>
      <c r="AG676" s="322"/>
      <c r="AH676" s="90">
        <f t="shared" si="199"/>
        <v>0</v>
      </c>
      <c r="AI676" s="80">
        <f t="shared" si="200"/>
        <v>0</v>
      </c>
      <c r="AJ676" s="638">
        <f t="shared" si="209"/>
        <v>0</v>
      </c>
      <c r="AK676" s="322"/>
      <c r="AL676" s="80">
        <f t="shared" si="201"/>
        <v>0</v>
      </c>
      <c r="AM676" s="79"/>
      <c r="AN676" s="322"/>
      <c r="AO676" s="79">
        <v>2832</v>
      </c>
      <c r="AP676" s="322">
        <v>2601</v>
      </c>
      <c r="AQ676" s="79">
        <v>2397</v>
      </c>
      <c r="AR676" s="322">
        <v>3038</v>
      </c>
      <c r="AS676" s="79">
        <v>3238</v>
      </c>
      <c r="AT676" s="322">
        <v>3231</v>
      </c>
      <c r="AU676" s="325">
        <f t="shared" si="202"/>
        <v>8467</v>
      </c>
      <c r="AV676" s="90">
        <f t="shared" si="230"/>
        <v>352.79166666666669</v>
      </c>
      <c r="AW676" s="324">
        <f t="shared" si="203"/>
        <v>8870</v>
      </c>
      <c r="AX676" s="80">
        <f t="shared" si="231"/>
        <v>369.58333333333331</v>
      </c>
      <c r="AY676" s="326">
        <f t="shared" si="204"/>
        <v>4233.2583333333332</v>
      </c>
      <c r="AZ676" s="80">
        <f t="shared" si="205"/>
        <v>4270.0166666666664</v>
      </c>
    </row>
    <row r="677" spans="1:52">
      <c r="A677" s="185" t="s">
        <v>792</v>
      </c>
      <c r="B677" s="180" t="s">
        <v>805</v>
      </c>
      <c r="C677" s="235">
        <v>232681</v>
      </c>
      <c r="D677" s="186">
        <v>5</v>
      </c>
      <c r="E677" s="162" t="s">
        <v>442</v>
      </c>
      <c r="F677" s="163" t="s">
        <v>442</v>
      </c>
      <c r="G677" s="79"/>
      <c r="H677" s="322"/>
      <c r="I677" s="79">
        <v>56736</v>
      </c>
      <c r="J677" s="322">
        <v>57069</v>
      </c>
      <c r="K677" s="79">
        <v>5617</v>
      </c>
      <c r="L677" s="322">
        <v>6087</v>
      </c>
      <c r="M677" s="79">
        <v>57846</v>
      </c>
      <c r="N677" s="322">
        <v>57059</v>
      </c>
      <c r="O677" s="323">
        <f t="shared" si="196"/>
        <v>120199</v>
      </c>
      <c r="P677" s="638">
        <f t="shared" si="206"/>
        <v>120199</v>
      </c>
      <c r="Q677" s="322">
        <v>28</v>
      </c>
      <c r="R677" s="90">
        <f t="shared" si="227"/>
        <v>4006.6333333333332</v>
      </c>
      <c r="S677" s="324">
        <f t="shared" si="197"/>
        <v>120215</v>
      </c>
      <c r="T677" s="638">
        <f t="shared" si="207"/>
        <v>120215</v>
      </c>
      <c r="U677" s="322">
        <v>36</v>
      </c>
      <c r="V677" s="80">
        <f t="shared" si="228"/>
        <v>4007.1666666666665</v>
      </c>
      <c r="W677" s="79"/>
      <c r="X677" s="322"/>
      <c r="Y677" s="79"/>
      <c r="Z677" s="322"/>
      <c r="AA677" s="79"/>
      <c r="AB677" s="322"/>
      <c r="AC677" s="79"/>
      <c r="AD677" s="322"/>
      <c r="AE677" s="323">
        <f t="shared" si="198"/>
        <v>0</v>
      </c>
      <c r="AF677" s="638">
        <f t="shared" si="208"/>
        <v>0</v>
      </c>
      <c r="AG677" s="322"/>
      <c r="AH677" s="90">
        <f t="shared" si="199"/>
        <v>0</v>
      </c>
      <c r="AI677" s="80">
        <f t="shared" si="200"/>
        <v>0</v>
      </c>
      <c r="AJ677" s="638">
        <f t="shared" si="209"/>
        <v>0</v>
      </c>
      <c r="AK677" s="322"/>
      <c r="AL677" s="80">
        <f t="shared" si="201"/>
        <v>0</v>
      </c>
      <c r="AM677" s="79"/>
      <c r="AN677" s="322"/>
      <c r="AO677" s="79">
        <v>4140</v>
      </c>
      <c r="AP677" s="322">
        <v>3503</v>
      </c>
      <c r="AQ677" s="79">
        <v>2235</v>
      </c>
      <c r="AR677" s="322">
        <v>2302</v>
      </c>
      <c r="AS677" s="79">
        <v>4241</v>
      </c>
      <c r="AT677" s="322">
        <v>4875</v>
      </c>
      <c r="AU677" s="325">
        <f t="shared" si="202"/>
        <v>10616</v>
      </c>
      <c r="AV677" s="90">
        <f t="shared" si="230"/>
        <v>442.33333333333331</v>
      </c>
      <c r="AW677" s="324">
        <f t="shared" si="203"/>
        <v>10680</v>
      </c>
      <c r="AX677" s="80">
        <f t="shared" si="231"/>
        <v>445</v>
      </c>
      <c r="AY677" s="326">
        <f t="shared" si="204"/>
        <v>4448.9666666666662</v>
      </c>
      <c r="AZ677" s="80">
        <f t="shared" si="205"/>
        <v>4452.1666666666661</v>
      </c>
    </row>
    <row r="678" spans="1:52">
      <c r="A678" s="185" t="s">
        <v>792</v>
      </c>
      <c r="B678" s="180" t="s">
        <v>806</v>
      </c>
      <c r="C678" s="235">
        <v>233897</v>
      </c>
      <c r="D678" s="187">
        <v>6</v>
      </c>
      <c r="E678" s="162" t="s">
        <v>442</v>
      </c>
      <c r="F678" s="163" t="s">
        <v>442</v>
      </c>
      <c r="G678" s="79"/>
      <c r="H678" s="322"/>
      <c r="I678" s="79">
        <v>22706.5</v>
      </c>
      <c r="J678" s="322">
        <v>21897</v>
      </c>
      <c r="K678" s="79">
        <v>3569.5</v>
      </c>
      <c r="L678" s="322">
        <v>3129</v>
      </c>
      <c r="M678" s="79">
        <v>23996</v>
      </c>
      <c r="N678" s="322">
        <v>23703</v>
      </c>
      <c r="O678" s="323">
        <f t="shared" si="196"/>
        <v>50272</v>
      </c>
      <c r="P678" s="638">
        <f t="shared" si="206"/>
        <v>50272</v>
      </c>
      <c r="Q678" s="322">
        <v>14</v>
      </c>
      <c r="R678" s="90">
        <f t="shared" si="227"/>
        <v>1675.7333333333333</v>
      </c>
      <c r="S678" s="324">
        <f t="shared" si="197"/>
        <v>48729</v>
      </c>
      <c r="T678" s="638">
        <f t="shared" si="207"/>
        <v>48729</v>
      </c>
      <c r="U678" s="322">
        <v>84</v>
      </c>
      <c r="V678" s="80">
        <f t="shared" si="228"/>
        <v>1624.3</v>
      </c>
      <c r="W678" s="79"/>
      <c r="X678" s="322"/>
      <c r="Y678" s="79"/>
      <c r="Z678" s="322"/>
      <c r="AA678" s="79"/>
      <c r="AB678" s="322"/>
      <c r="AC678" s="79"/>
      <c r="AD678" s="322"/>
      <c r="AE678" s="323">
        <f t="shared" si="198"/>
        <v>0</v>
      </c>
      <c r="AF678" s="638">
        <f t="shared" si="208"/>
        <v>0</v>
      </c>
      <c r="AG678" s="322"/>
      <c r="AH678" s="90">
        <f t="shared" si="199"/>
        <v>0</v>
      </c>
      <c r="AI678" s="80">
        <f t="shared" si="200"/>
        <v>0</v>
      </c>
      <c r="AJ678" s="638">
        <f t="shared" si="209"/>
        <v>0</v>
      </c>
      <c r="AK678" s="322"/>
      <c r="AL678" s="80">
        <f t="shared" si="201"/>
        <v>0</v>
      </c>
      <c r="AM678" s="79"/>
      <c r="AN678" s="322"/>
      <c r="AO678" s="79"/>
      <c r="AP678" s="322">
        <v>0</v>
      </c>
      <c r="AQ678" s="79"/>
      <c r="AR678" s="322">
        <v>0</v>
      </c>
      <c r="AS678" s="79"/>
      <c r="AT678" s="322">
        <v>0</v>
      </c>
      <c r="AU678" s="325">
        <f t="shared" si="202"/>
        <v>0</v>
      </c>
      <c r="AV678" s="90">
        <f t="shared" si="230"/>
        <v>0</v>
      </c>
      <c r="AW678" s="324">
        <f t="shared" si="203"/>
        <v>0</v>
      </c>
      <c r="AX678" s="80">
        <f t="shared" si="231"/>
        <v>0</v>
      </c>
      <c r="AY678" s="326">
        <f t="shared" si="204"/>
        <v>1675.7333333333333</v>
      </c>
      <c r="AZ678" s="80">
        <f t="shared" si="205"/>
        <v>1624.3</v>
      </c>
    </row>
    <row r="679" spans="1:52">
      <c r="A679" s="185" t="s">
        <v>792</v>
      </c>
      <c r="B679" s="180" t="s">
        <v>807</v>
      </c>
      <c r="C679" s="235">
        <v>232414</v>
      </c>
      <c r="D679" s="186">
        <v>8</v>
      </c>
      <c r="E679" s="162" t="s">
        <v>442</v>
      </c>
      <c r="F679" s="163" t="s">
        <v>442</v>
      </c>
      <c r="G679" s="79"/>
      <c r="H679" s="322"/>
      <c r="I679" s="79">
        <v>78788</v>
      </c>
      <c r="J679" s="322">
        <v>84335</v>
      </c>
      <c r="K679" s="79">
        <v>27539</v>
      </c>
      <c r="L679" s="322">
        <v>28496</v>
      </c>
      <c r="M679" s="79">
        <v>93644</v>
      </c>
      <c r="N679" s="322">
        <v>99537</v>
      </c>
      <c r="O679" s="323">
        <f t="shared" si="196"/>
        <v>199971</v>
      </c>
      <c r="P679" s="638">
        <f t="shared" si="206"/>
        <v>199971</v>
      </c>
      <c r="Q679" s="322">
        <v>20991</v>
      </c>
      <c r="R679" s="90">
        <f t="shared" si="227"/>
        <v>6665.7</v>
      </c>
      <c r="S679" s="324">
        <f t="shared" si="197"/>
        <v>212368</v>
      </c>
      <c r="T679" s="638">
        <f t="shared" si="207"/>
        <v>212368</v>
      </c>
      <c r="U679" s="349">
        <v>20452</v>
      </c>
      <c r="V679" s="80">
        <f t="shared" si="228"/>
        <v>7078.9333333333334</v>
      </c>
      <c r="W679" s="79"/>
      <c r="X679" s="322"/>
      <c r="Y679" s="79"/>
      <c r="Z679" s="322"/>
      <c r="AA679" s="79"/>
      <c r="AB679" s="322"/>
      <c r="AC679" s="79"/>
      <c r="AD679" s="322"/>
      <c r="AE679" s="323">
        <f t="shared" si="198"/>
        <v>0</v>
      </c>
      <c r="AF679" s="638">
        <f t="shared" si="208"/>
        <v>0</v>
      </c>
      <c r="AG679" s="322"/>
      <c r="AH679" s="90">
        <f t="shared" si="199"/>
        <v>0</v>
      </c>
      <c r="AI679" s="80">
        <f t="shared" si="200"/>
        <v>0</v>
      </c>
      <c r="AJ679" s="638">
        <f t="shared" si="209"/>
        <v>0</v>
      </c>
      <c r="AK679" s="322"/>
      <c r="AL679" s="80">
        <f t="shared" si="201"/>
        <v>0</v>
      </c>
      <c r="AM679" s="79"/>
      <c r="AN679" s="322"/>
      <c r="AO679" s="79"/>
      <c r="AP679" s="322">
        <v>0</v>
      </c>
      <c r="AQ679" s="79"/>
      <c r="AR679" s="322">
        <v>0</v>
      </c>
      <c r="AS679" s="79"/>
      <c r="AT679" s="322">
        <v>0</v>
      </c>
      <c r="AU679" s="325">
        <f t="shared" si="202"/>
        <v>0</v>
      </c>
      <c r="AV679" s="90">
        <f t="shared" si="230"/>
        <v>0</v>
      </c>
      <c r="AW679" s="324">
        <f t="shared" si="203"/>
        <v>0</v>
      </c>
      <c r="AX679" s="80">
        <f t="shared" si="231"/>
        <v>0</v>
      </c>
      <c r="AY679" s="326">
        <f t="shared" si="204"/>
        <v>6665.7</v>
      </c>
      <c r="AZ679" s="80">
        <f t="shared" si="205"/>
        <v>7078.9333333333334</v>
      </c>
    </row>
    <row r="680" spans="1:52">
      <c r="A680" s="185" t="s">
        <v>792</v>
      </c>
      <c r="B680" s="180" t="s">
        <v>808</v>
      </c>
      <c r="C680" s="235">
        <v>232946</v>
      </c>
      <c r="D680" s="186">
        <v>8</v>
      </c>
      <c r="E680" s="162" t="s">
        <v>442</v>
      </c>
      <c r="F680" s="163" t="s">
        <v>442</v>
      </c>
      <c r="G680" s="79"/>
      <c r="H680" s="322"/>
      <c r="I680" s="79">
        <v>319024</v>
      </c>
      <c r="J680" s="322">
        <v>338972</v>
      </c>
      <c r="K680" s="79">
        <v>123753</v>
      </c>
      <c r="L680" s="322">
        <v>131229</v>
      </c>
      <c r="M680" s="79">
        <v>361535</v>
      </c>
      <c r="N680" s="322">
        <v>370651</v>
      </c>
      <c r="O680" s="323">
        <f t="shared" si="196"/>
        <v>804312</v>
      </c>
      <c r="P680" s="638">
        <f t="shared" si="206"/>
        <v>804312</v>
      </c>
      <c r="Q680" s="322">
        <v>18730</v>
      </c>
      <c r="R680" s="90">
        <f t="shared" si="227"/>
        <v>26810.400000000001</v>
      </c>
      <c r="S680" s="324">
        <f t="shared" si="197"/>
        <v>840852</v>
      </c>
      <c r="T680" s="638">
        <f t="shared" si="207"/>
        <v>840852</v>
      </c>
      <c r="U680" s="349">
        <v>17183</v>
      </c>
      <c r="V680" s="80">
        <f t="shared" si="228"/>
        <v>28028.400000000001</v>
      </c>
      <c r="W680" s="79"/>
      <c r="X680" s="322"/>
      <c r="Y680" s="79"/>
      <c r="Z680" s="322"/>
      <c r="AA680" s="79"/>
      <c r="AB680" s="322"/>
      <c r="AC680" s="79"/>
      <c r="AD680" s="322"/>
      <c r="AE680" s="323">
        <f t="shared" si="198"/>
        <v>0</v>
      </c>
      <c r="AF680" s="638">
        <f t="shared" si="208"/>
        <v>0</v>
      </c>
      <c r="AG680" s="322"/>
      <c r="AH680" s="90">
        <f t="shared" si="199"/>
        <v>0</v>
      </c>
      <c r="AI680" s="80">
        <f t="shared" si="200"/>
        <v>0</v>
      </c>
      <c r="AJ680" s="638">
        <f t="shared" si="209"/>
        <v>0</v>
      </c>
      <c r="AK680" s="322"/>
      <c r="AL680" s="80">
        <f t="shared" si="201"/>
        <v>0</v>
      </c>
      <c r="AM680" s="79"/>
      <c r="AN680" s="322"/>
      <c r="AO680" s="79"/>
      <c r="AP680" s="322">
        <v>0</v>
      </c>
      <c r="AQ680" s="79"/>
      <c r="AR680" s="322">
        <v>0</v>
      </c>
      <c r="AS680" s="79"/>
      <c r="AT680" s="322">
        <v>0</v>
      </c>
      <c r="AU680" s="325">
        <f t="shared" si="202"/>
        <v>0</v>
      </c>
      <c r="AV680" s="90">
        <f t="shared" si="230"/>
        <v>0</v>
      </c>
      <c r="AW680" s="324">
        <f t="shared" si="203"/>
        <v>0</v>
      </c>
      <c r="AX680" s="80">
        <f t="shared" si="231"/>
        <v>0</v>
      </c>
      <c r="AY680" s="326">
        <f t="shared" si="204"/>
        <v>26810.400000000001</v>
      </c>
      <c r="AZ680" s="80">
        <f t="shared" si="205"/>
        <v>28028.400000000001</v>
      </c>
    </row>
    <row r="681" spans="1:52">
      <c r="A681" s="185" t="s">
        <v>792</v>
      </c>
      <c r="B681" s="180" t="s">
        <v>809</v>
      </c>
      <c r="C681" s="235">
        <v>233754</v>
      </c>
      <c r="D681" s="186">
        <v>8</v>
      </c>
      <c r="E681" s="162" t="s">
        <v>442</v>
      </c>
      <c r="F681" s="163" t="s">
        <v>442</v>
      </c>
      <c r="G681" s="79"/>
      <c r="H681" s="322"/>
      <c r="I681" s="79">
        <v>68072</v>
      </c>
      <c r="J681" s="322">
        <v>69027</v>
      </c>
      <c r="K681" s="79">
        <v>20469</v>
      </c>
      <c r="L681" s="322">
        <v>21470</v>
      </c>
      <c r="M681" s="79">
        <v>75716</v>
      </c>
      <c r="N681" s="322">
        <v>83283</v>
      </c>
      <c r="O681" s="323">
        <f t="shared" si="196"/>
        <v>164257</v>
      </c>
      <c r="P681" s="638">
        <f t="shared" si="206"/>
        <v>164257</v>
      </c>
      <c r="Q681" s="322">
        <v>9278</v>
      </c>
      <c r="R681" s="90">
        <f t="shared" si="227"/>
        <v>5475.2333333333336</v>
      </c>
      <c r="S681" s="324">
        <f t="shared" si="197"/>
        <v>173780</v>
      </c>
      <c r="T681" s="638">
        <f t="shared" si="207"/>
        <v>173780</v>
      </c>
      <c r="U681" s="349">
        <v>12054</v>
      </c>
      <c r="V681" s="80">
        <f t="shared" si="228"/>
        <v>5792.666666666667</v>
      </c>
      <c r="W681" s="79"/>
      <c r="X681" s="322"/>
      <c r="Y681" s="79"/>
      <c r="Z681" s="322"/>
      <c r="AA681" s="79"/>
      <c r="AB681" s="322"/>
      <c r="AC681" s="79"/>
      <c r="AD681" s="322"/>
      <c r="AE681" s="323">
        <f t="shared" si="198"/>
        <v>0</v>
      </c>
      <c r="AF681" s="638">
        <f t="shared" si="208"/>
        <v>0</v>
      </c>
      <c r="AG681" s="322"/>
      <c r="AH681" s="90">
        <f t="shared" si="199"/>
        <v>0</v>
      </c>
      <c r="AI681" s="80">
        <f t="shared" si="200"/>
        <v>0</v>
      </c>
      <c r="AJ681" s="638">
        <f t="shared" si="209"/>
        <v>0</v>
      </c>
      <c r="AK681" s="322"/>
      <c r="AL681" s="80">
        <f t="shared" si="201"/>
        <v>0</v>
      </c>
      <c r="AM681" s="79"/>
      <c r="AN681" s="322"/>
      <c r="AO681" s="79"/>
      <c r="AP681" s="322">
        <v>0</v>
      </c>
      <c r="AQ681" s="79"/>
      <c r="AR681" s="322">
        <v>0</v>
      </c>
      <c r="AS681" s="79"/>
      <c r="AT681" s="322">
        <v>0</v>
      </c>
      <c r="AU681" s="325">
        <f t="shared" si="202"/>
        <v>0</v>
      </c>
      <c r="AV681" s="90">
        <f t="shared" si="230"/>
        <v>0</v>
      </c>
      <c r="AW681" s="324">
        <f t="shared" si="203"/>
        <v>0</v>
      </c>
      <c r="AX681" s="80">
        <f t="shared" si="231"/>
        <v>0</v>
      </c>
      <c r="AY681" s="326">
        <f t="shared" si="204"/>
        <v>5475.2333333333336</v>
      </c>
      <c r="AZ681" s="80">
        <f t="shared" si="205"/>
        <v>5792.666666666667</v>
      </c>
    </row>
    <row r="682" spans="1:52">
      <c r="A682" s="185" t="s">
        <v>792</v>
      </c>
      <c r="B682" s="180" t="s">
        <v>810</v>
      </c>
      <c r="C682" s="235">
        <v>233772</v>
      </c>
      <c r="D682" s="186">
        <v>8</v>
      </c>
      <c r="E682" s="162" t="s">
        <v>442</v>
      </c>
      <c r="F682" s="163" t="s">
        <v>442</v>
      </c>
      <c r="G682" s="79"/>
      <c r="H682" s="322"/>
      <c r="I682" s="79">
        <v>203771</v>
      </c>
      <c r="J682" s="322">
        <v>216377</v>
      </c>
      <c r="K682" s="79">
        <v>71138</v>
      </c>
      <c r="L682" s="322">
        <v>74013</v>
      </c>
      <c r="M682" s="79">
        <v>225323</v>
      </c>
      <c r="N682" s="322">
        <v>235637</v>
      </c>
      <c r="O682" s="323">
        <f t="shared" si="196"/>
        <v>500232</v>
      </c>
      <c r="P682" s="638">
        <f t="shared" si="206"/>
        <v>500232</v>
      </c>
      <c r="Q682" s="322">
        <v>11046</v>
      </c>
      <c r="R682" s="90">
        <f t="shared" si="227"/>
        <v>16674.400000000001</v>
      </c>
      <c r="S682" s="324">
        <f t="shared" si="197"/>
        <v>526027</v>
      </c>
      <c r="T682" s="638">
        <f t="shared" si="207"/>
        <v>526027</v>
      </c>
      <c r="U682" s="349">
        <v>11423</v>
      </c>
      <c r="V682" s="80">
        <f t="shared" si="228"/>
        <v>17534.233333333334</v>
      </c>
      <c r="W682" s="79"/>
      <c r="X682" s="322"/>
      <c r="Y682" s="79"/>
      <c r="Z682" s="322"/>
      <c r="AA682" s="79"/>
      <c r="AB682" s="322"/>
      <c r="AC682" s="79"/>
      <c r="AD682" s="322"/>
      <c r="AE682" s="323">
        <f t="shared" si="198"/>
        <v>0</v>
      </c>
      <c r="AF682" s="638">
        <f t="shared" si="208"/>
        <v>0</v>
      </c>
      <c r="AG682" s="322"/>
      <c r="AH682" s="90">
        <f t="shared" si="199"/>
        <v>0</v>
      </c>
      <c r="AI682" s="80">
        <f t="shared" si="200"/>
        <v>0</v>
      </c>
      <c r="AJ682" s="638">
        <f t="shared" si="209"/>
        <v>0</v>
      </c>
      <c r="AK682" s="322"/>
      <c r="AL682" s="80">
        <f t="shared" si="201"/>
        <v>0</v>
      </c>
      <c r="AM682" s="79"/>
      <c r="AN682" s="322"/>
      <c r="AO682" s="79"/>
      <c r="AP682" s="322">
        <v>0</v>
      </c>
      <c r="AQ682" s="79"/>
      <c r="AR682" s="322">
        <v>0</v>
      </c>
      <c r="AS682" s="79"/>
      <c r="AT682" s="322">
        <v>0</v>
      </c>
      <c r="AU682" s="325">
        <f t="shared" si="202"/>
        <v>0</v>
      </c>
      <c r="AV682" s="90">
        <f t="shared" si="230"/>
        <v>0</v>
      </c>
      <c r="AW682" s="324">
        <f t="shared" si="203"/>
        <v>0</v>
      </c>
      <c r="AX682" s="80">
        <f t="shared" si="231"/>
        <v>0</v>
      </c>
      <c r="AY682" s="326">
        <f t="shared" si="204"/>
        <v>16674.400000000001</v>
      </c>
      <c r="AZ682" s="80">
        <f t="shared" si="205"/>
        <v>17534.233333333334</v>
      </c>
    </row>
    <row r="683" spans="1:52">
      <c r="A683" s="185" t="s">
        <v>792</v>
      </c>
      <c r="B683" s="180" t="s">
        <v>811</v>
      </c>
      <c r="C683" s="235">
        <v>231536</v>
      </c>
      <c r="D683" s="186">
        <v>9</v>
      </c>
      <c r="E683" s="162" t="s">
        <v>442</v>
      </c>
      <c r="F683" s="163" t="s">
        <v>442</v>
      </c>
      <c r="G683" s="79"/>
      <c r="H683" s="322"/>
      <c r="I683" s="79">
        <v>32544</v>
      </c>
      <c r="J683" s="322">
        <v>33507</v>
      </c>
      <c r="K683" s="79">
        <v>8374</v>
      </c>
      <c r="L683" s="322">
        <v>8363</v>
      </c>
      <c r="M683" s="79">
        <v>36811</v>
      </c>
      <c r="N683" s="322">
        <v>38881</v>
      </c>
      <c r="O683" s="323">
        <f t="shared" si="196"/>
        <v>77729</v>
      </c>
      <c r="P683" s="638">
        <f t="shared" si="206"/>
        <v>77729</v>
      </c>
      <c r="Q683" s="322">
        <v>2791</v>
      </c>
      <c r="R683" s="90">
        <f t="shared" si="227"/>
        <v>2590.9666666666667</v>
      </c>
      <c r="S683" s="324">
        <f t="shared" si="197"/>
        <v>80751</v>
      </c>
      <c r="T683" s="638">
        <f t="shared" si="207"/>
        <v>80751</v>
      </c>
      <c r="U683" s="349">
        <v>4423</v>
      </c>
      <c r="V683" s="80">
        <f t="shared" si="228"/>
        <v>2691.7</v>
      </c>
      <c r="W683" s="79"/>
      <c r="X683" s="322"/>
      <c r="Y683" s="79"/>
      <c r="Z683" s="322"/>
      <c r="AA683" s="79"/>
      <c r="AB683" s="322"/>
      <c r="AC683" s="79"/>
      <c r="AD683" s="322"/>
      <c r="AE683" s="323">
        <f t="shared" si="198"/>
        <v>0</v>
      </c>
      <c r="AF683" s="638">
        <f t="shared" si="208"/>
        <v>0</v>
      </c>
      <c r="AG683" s="322"/>
      <c r="AH683" s="90">
        <f t="shared" si="199"/>
        <v>0</v>
      </c>
      <c r="AI683" s="80">
        <f t="shared" si="200"/>
        <v>0</v>
      </c>
      <c r="AJ683" s="638">
        <f t="shared" si="209"/>
        <v>0</v>
      </c>
      <c r="AK683" s="322"/>
      <c r="AL683" s="80">
        <f t="shared" si="201"/>
        <v>0</v>
      </c>
      <c r="AM683" s="79"/>
      <c r="AN683" s="322"/>
      <c r="AO683" s="79"/>
      <c r="AP683" s="322">
        <v>0</v>
      </c>
      <c r="AQ683" s="79"/>
      <c r="AR683" s="322">
        <v>0</v>
      </c>
      <c r="AS683" s="79"/>
      <c r="AT683" s="322">
        <v>0</v>
      </c>
      <c r="AU683" s="325">
        <f t="shared" si="202"/>
        <v>0</v>
      </c>
      <c r="AV683" s="90">
        <f t="shared" si="230"/>
        <v>0</v>
      </c>
      <c r="AW683" s="324">
        <f t="shared" si="203"/>
        <v>0</v>
      </c>
      <c r="AX683" s="80">
        <f t="shared" si="231"/>
        <v>0</v>
      </c>
      <c r="AY683" s="326">
        <f t="shared" si="204"/>
        <v>2590.9666666666667</v>
      </c>
      <c r="AZ683" s="80">
        <f t="shared" si="205"/>
        <v>2691.7</v>
      </c>
    </row>
    <row r="684" spans="1:52">
      <c r="A684" s="185" t="s">
        <v>792</v>
      </c>
      <c r="B684" s="180" t="s">
        <v>812</v>
      </c>
      <c r="C684" s="235">
        <v>231697</v>
      </c>
      <c r="D684" s="186">
        <v>9</v>
      </c>
      <c r="E684" s="162" t="s">
        <v>442</v>
      </c>
      <c r="F684" s="163" t="s">
        <v>442</v>
      </c>
      <c r="G684" s="79"/>
      <c r="H684" s="322"/>
      <c r="I684" s="79">
        <v>29023</v>
      </c>
      <c r="J684" s="322">
        <v>30181</v>
      </c>
      <c r="K684" s="79">
        <v>7650</v>
      </c>
      <c r="L684" s="322">
        <v>8632</v>
      </c>
      <c r="M684" s="79">
        <v>35179</v>
      </c>
      <c r="N684" s="322">
        <v>37629</v>
      </c>
      <c r="O684" s="323">
        <f t="shared" si="196"/>
        <v>71852</v>
      </c>
      <c r="P684" s="638">
        <f t="shared" si="206"/>
        <v>71852</v>
      </c>
      <c r="Q684" s="322">
        <v>9807</v>
      </c>
      <c r="R684" s="90">
        <f t="shared" si="227"/>
        <v>2395.0666666666666</v>
      </c>
      <c r="S684" s="324">
        <f t="shared" si="197"/>
        <v>76442</v>
      </c>
      <c r="T684" s="638">
        <f t="shared" si="207"/>
        <v>76442</v>
      </c>
      <c r="U684" s="349">
        <v>11400</v>
      </c>
      <c r="V684" s="80">
        <f t="shared" si="228"/>
        <v>2548.0666666666666</v>
      </c>
      <c r="W684" s="79"/>
      <c r="X684" s="322"/>
      <c r="Y684" s="79"/>
      <c r="Z684" s="322"/>
      <c r="AA684" s="79"/>
      <c r="AB684" s="322"/>
      <c r="AC684" s="79"/>
      <c r="AD684" s="322"/>
      <c r="AE684" s="323">
        <f t="shared" si="198"/>
        <v>0</v>
      </c>
      <c r="AF684" s="638">
        <f t="shared" si="208"/>
        <v>0</v>
      </c>
      <c r="AG684" s="322"/>
      <c r="AH684" s="90">
        <f t="shared" si="199"/>
        <v>0</v>
      </c>
      <c r="AI684" s="80">
        <f t="shared" si="200"/>
        <v>0</v>
      </c>
      <c r="AJ684" s="638">
        <f t="shared" si="209"/>
        <v>0</v>
      </c>
      <c r="AK684" s="322"/>
      <c r="AL684" s="80">
        <f t="shared" si="201"/>
        <v>0</v>
      </c>
      <c r="AM684" s="79"/>
      <c r="AN684" s="322"/>
      <c r="AO684" s="79"/>
      <c r="AP684" s="322">
        <v>0</v>
      </c>
      <c r="AQ684" s="79"/>
      <c r="AR684" s="322">
        <v>0</v>
      </c>
      <c r="AS684" s="79"/>
      <c r="AT684" s="322">
        <v>0</v>
      </c>
      <c r="AU684" s="325">
        <f t="shared" si="202"/>
        <v>0</v>
      </c>
      <c r="AV684" s="90">
        <f t="shared" si="230"/>
        <v>0</v>
      </c>
      <c r="AW684" s="324">
        <f t="shared" si="203"/>
        <v>0</v>
      </c>
      <c r="AX684" s="80">
        <f t="shared" si="231"/>
        <v>0</v>
      </c>
      <c r="AY684" s="326">
        <f t="shared" si="204"/>
        <v>2395.0666666666666</v>
      </c>
      <c r="AZ684" s="80">
        <f t="shared" si="205"/>
        <v>2548.0666666666666</v>
      </c>
    </row>
    <row r="685" spans="1:52">
      <c r="A685" s="185" t="s">
        <v>792</v>
      </c>
      <c r="B685" s="180" t="s">
        <v>813</v>
      </c>
      <c r="C685" s="235">
        <v>231882</v>
      </c>
      <c r="D685" s="186">
        <v>9</v>
      </c>
      <c r="E685" s="162" t="s">
        <v>442</v>
      </c>
      <c r="F685" s="163" t="s">
        <v>442</v>
      </c>
      <c r="G685" s="79"/>
      <c r="H685" s="322"/>
      <c r="I685" s="79">
        <v>32055</v>
      </c>
      <c r="J685" s="322">
        <v>32490</v>
      </c>
      <c r="K685" s="79">
        <v>12199</v>
      </c>
      <c r="L685" s="322">
        <v>11254</v>
      </c>
      <c r="M685" s="79">
        <v>31500</v>
      </c>
      <c r="N685" s="322">
        <v>30798</v>
      </c>
      <c r="O685" s="323">
        <f t="shared" si="196"/>
        <v>75754</v>
      </c>
      <c r="P685" s="638">
        <f t="shared" si="206"/>
        <v>75754</v>
      </c>
      <c r="Q685" s="322">
        <v>10185</v>
      </c>
      <c r="R685" s="90">
        <f t="shared" si="227"/>
        <v>2525.1333333333332</v>
      </c>
      <c r="S685" s="324">
        <f t="shared" si="197"/>
        <v>74542</v>
      </c>
      <c r="T685" s="638">
        <f t="shared" si="207"/>
        <v>74542</v>
      </c>
      <c r="U685" s="349">
        <v>12237</v>
      </c>
      <c r="V685" s="80">
        <f t="shared" si="228"/>
        <v>2484.7333333333331</v>
      </c>
      <c r="W685" s="79"/>
      <c r="X685" s="322"/>
      <c r="Y685" s="79"/>
      <c r="Z685" s="322"/>
      <c r="AA685" s="79"/>
      <c r="AB685" s="322"/>
      <c r="AC685" s="79"/>
      <c r="AD685" s="322"/>
      <c r="AE685" s="323">
        <f t="shared" si="198"/>
        <v>0</v>
      </c>
      <c r="AF685" s="638">
        <f t="shared" si="208"/>
        <v>0</v>
      </c>
      <c r="AG685" s="322"/>
      <c r="AH685" s="90">
        <f t="shared" si="199"/>
        <v>0</v>
      </c>
      <c r="AI685" s="80">
        <f t="shared" si="200"/>
        <v>0</v>
      </c>
      <c r="AJ685" s="638">
        <f t="shared" si="209"/>
        <v>0</v>
      </c>
      <c r="AK685" s="322"/>
      <c r="AL685" s="80">
        <f t="shared" si="201"/>
        <v>0</v>
      </c>
      <c r="AM685" s="79"/>
      <c r="AN685" s="322"/>
      <c r="AO685" s="79"/>
      <c r="AP685" s="322">
        <v>0</v>
      </c>
      <c r="AQ685" s="79"/>
      <c r="AR685" s="322">
        <v>0</v>
      </c>
      <c r="AS685" s="79"/>
      <c r="AT685" s="322">
        <v>0</v>
      </c>
      <c r="AU685" s="325">
        <f t="shared" si="202"/>
        <v>0</v>
      </c>
      <c r="AV685" s="90">
        <f t="shared" si="230"/>
        <v>0</v>
      </c>
      <c r="AW685" s="324">
        <f t="shared" si="203"/>
        <v>0</v>
      </c>
      <c r="AX685" s="80">
        <f t="shared" si="231"/>
        <v>0</v>
      </c>
      <c r="AY685" s="326">
        <f t="shared" si="204"/>
        <v>2525.1333333333332</v>
      </c>
      <c r="AZ685" s="80">
        <f t="shared" si="205"/>
        <v>2484.7333333333331</v>
      </c>
    </row>
    <row r="686" spans="1:52">
      <c r="A686" s="185" t="s">
        <v>792</v>
      </c>
      <c r="B686" s="180" t="s">
        <v>814</v>
      </c>
      <c r="C686" s="235">
        <v>232195</v>
      </c>
      <c r="D686" s="186">
        <v>9</v>
      </c>
      <c r="E686" s="162" t="s">
        <v>442</v>
      </c>
      <c r="F686" s="163" t="s">
        <v>442</v>
      </c>
      <c r="G686" s="79"/>
      <c r="H686" s="322"/>
      <c r="I686" s="79">
        <v>38518</v>
      </c>
      <c r="J686" s="322">
        <v>43364</v>
      </c>
      <c r="K686" s="79">
        <v>9729</v>
      </c>
      <c r="L686" s="322">
        <v>10506</v>
      </c>
      <c r="M686" s="79">
        <v>47182</v>
      </c>
      <c r="N686" s="322">
        <v>52417</v>
      </c>
      <c r="O686" s="323">
        <f t="shared" si="196"/>
        <v>95429</v>
      </c>
      <c r="P686" s="638">
        <f t="shared" si="206"/>
        <v>95429</v>
      </c>
      <c r="Q686" s="322">
        <v>7924</v>
      </c>
      <c r="R686" s="90">
        <f t="shared" si="227"/>
        <v>3180.9666666666667</v>
      </c>
      <c r="S686" s="324">
        <f t="shared" si="197"/>
        <v>106287</v>
      </c>
      <c r="T686" s="638">
        <f t="shared" si="207"/>
        <v>106287</v>
      </c>
      <c r="U686" s="349">
        <v>9410</v>
      </c>
      <c r="V686" s="80">
        <f t="shared" si="228"/>
        <v>3542.9</v>
      </c>
      <c r="W686" s="79"/>
      <c r="X686" s="322"/>
      <c r="Y686" s="79"/>
      <c r="Z686" s="322"/>
      <c r="AA686" s="79"/>
      <c r="AB686" s="322"/>
      <c r="AC686" s="79"/>
      <c r="AD686" s="322"/>
      <c r="AE686" s="323">
        <f t="shared" si="198"/>
        <v>0</v>
      </c>
      <c r="AF686" s="638">
        <f t="shared" si="208"/>
        <v>0</v>
      </c>
      <c r="AG686" s="322"/>
      <c r="AH686" s="90">
        <f t="shared" si="199"/>
        <v>0</v>
      </c>
      <c r="AI686" s="80">
        <f t="shared" si="200"/>
        <v>0</v>
      </c>
      <c r="AJ686" s="638">
        <f t="shared" si="209"/>
        <v>0</v>
      </c>
      <c r="AK686" s="322"/>
      <c r="AL686" s="80">
        <f t="shared" si="201"/>
        <v>0</v>
      </c>
      <c r="AM686" s="79"/>
      <c r="AN686" s="322"/>
      <c r="AO686" s="79"/>
      <c r="AP686" s="322">
        <v>0</v>
      </c>
      <c r="AQ686" s="79"/>
      <c r="AR686" s="322">
        <v>0</v>
      </c>
      <c r="AS686" s="79"/>
      <c r="AT686" s="322">
        <v>0</v>
      </c>
      <c r="AU686" s="325">
        <f t="shared" si="202"/>
        <v>0</v>
      </c>
      <c r="AV686" s="90">
        <f t="shared" si="230"/>
        <v>0</v>
      </c>
      <c r="AW686" s="324">
        <f t="shared" si="203"/>
        <v>0</v>
      </c>
      <c r="AX686" s="80">
        <f t="shared" si="231"/>
        <v>0</v>
      </c>
      <c r="AY686" s="326">
        <f t="shared" si="204"/>
        <v>3180.9666666666667</v>
      </c>
      <c r="AZ686" s="80">
        <f t="shared" si="205"/>
        <v>3542.9</v>
      </c>
    </row>
    <row r="687" spans="1:52">
      <c r="A687" s="185" t="s">
        <v>792</v>
      </c>
      <c r="B687" s="180" t="s">
        <v>815</v>
      </c>
      <c r="C687" s="235">
        <v>232450</v>
      </c>
      <c r="D687" s="186">
        <v>9</v>
      </c>
      <c r="E687" s="162" t="s">
        <v>442</v>
      </c>
      <c r="F687" s="163" t="s">
        <v>442</v>
      </c>
      <c r="G687" s="79"/>
      <c r="H687" s="322"/>
      <c r="I687" s="79">
        <v>51496.199999999903</v>
      </c>
      <c r="J687" s="322">
        <v>56741</v>
      </c>
      <c r="K687" s="79">
        <v>15849</v>
      </c>
      <c r="L687" s="322">
        <v>17823</v>
      </c>
      <c r="M687" s="79">
        <v>59514</v>
      </c>
      <c r="N687" s="322">
        <v>65828</v>
      </c>
      <c r="O687" s="323">
        <f t="shared" si="196"/>
        <v>126859.1999999999</v>
      </c>
      <c r="P687" s="638">
        <f t="shared" si="206"/>
        <v>126859.1999999999</v>
      </c>
      <c r="Q687" s="322">
        <v>13585</v>
      </c>
      <c r="R687" s="90">
        <f t="shared" si="227"/>
        <v>4228.6399999999967</v>
      </c>
      <c r="S687" s="324">
        <f t="shared" si="197"/>
        <v>140392</v>
      </c>
      <c r="T687" s="638">
        <f t="shared" si="207"/>
        <v>140392</v>
      </c>
      <c r="U687" s="349">
        <v>17805</v>
      </c>
      <c r="V687" s="80">
        <f t="shared" si="228"/>
        <v>4679.7333333333336</v>
      </c>
      <c r="W687" s="79"/>
      <c r="X687" s="322"/>
      <c r="Y687" s="79"/>
      <c r="Z687" s="322"/>
      <c r="AA687" s="79"/>
      <c r="AB687" s="322"/>
      <c r="AC687" s="79"/>
      <c r="AD687" s="322"/>
      <c r="AE687" s="323">
        <f t="shared" si="198"/>
        <v>0</v>
      </c>
      <c r="AF687" s="638">
        <f t="shared" si="208"/>
        <v>0</v>
      </c>
      <c r="AG687" s="322"/>
      <c r="AH687" s="90">
        <f t="shared" si="199"/>
        <v>0</v>
      </c>
      <c r="AI687" s="80">
        <f t="shared" si="200"/>
        <v>0</v>
      </c>
      <c r="AJ687" s="638">
        <f t="shared" si="209"/>
        <v>0</v>
      </c>
      <c r="AK687" s="322"/>
      <c r="AL687" s="80">
        <f t="shared" si="201"/>
        <v>0</v>
      </c>
      <c r="AM687" s="79"/>
      <c r="AN687" s="322"/>
      <c r="AO687" s="79"/>
      <c r="AP687" s="322">
        <v>0</v>
      </c>
      <c r="AQ687" s="79"/>
      <c r="AR687" s="322">
        <v>0</v>
      </c>
      <c r="AS687" s="79"/>
      <c r="AT687" s="322">
        <v>0</v>
      </c>
      <c r="AU687" s="325">
        <f t="shared" si="202"/>
        <v>0</v>
      </c>
      <c r="AV687" s="90">
        <f t="shared" si="230"/>
        <v>0</v>
      </c>
      <c r="AW687" s="324">
        <f t="shared" si="203"/>
        <v>0</v>
      </c>
      <c r="AX687" s="80">
        <f t="shared" si="231"/>
        <v>0</v>
      </c>
      <c r="AY687" s="326">
        <f t="shared" si="204"/>
        <v>4228.6399999999967</v>
      </c>
      <c r="AZ687" s="80">
        <f t="shared" si="205"/>
        <v>4679.7333333333336</v>
      </c>
    </row>
    <row r="688" spans="1:52">
      <c r="A688" s="185" t="s">
        <v>792</v>
      </c>
      <c r="B688" s="180" t="s">
        <v>816</v>
      </c>
      <c r="C688" s="235">
        <v>232575</v>
      </c>
      <c r="D688" s="186">
        <v>9</v>
      </c>
      <c r="E688" s="162" t="s">
        <v>442</v>
      </c>
      <c r="F688" s="163" t="s">
        <v>442</v>
      </c>
      <c r="G688" s="79"/>
      <c r="H688" s="322"/>
      <c r="I688" s="79">
        <v>41277</v>
      </c>
      <c r="J688" s="322">
        <v>38657</v>
      </c>
      <c r="K688" s="79">
        <v>9602</v>
      </c>
      <c r="L688" s="322">
        <v>9985</v>
      </c>
      <c r="M688" s="79">
        <v>43636</v>
      </c>
      <c r="N688" s="322">
        <v>47958</v>
      </c>
      <c r="O688" s="323">
        <f t="shared" si="196"/>
        <v>94515</v>
      </c>
      <c r="P688" s="638">
        <f t="shared" si="206"/>
        <v>94515</v>
      </c>
      <c r="Q688" s="322">
        <v>17522</v>
      </c>
      <c r="R688" s="90">
        <f t="shared" si="227"/>
        <v>3150.5</v>
      </c>
      <c r="S688" s="324">
        <f t="shared" si="197"/>
        <v>96600</v>
      </c>
      <c r="T688" s="638">
        <f t="shared" si="207"/>
        <v>96600</v>
      </c>
      <c r="U688" s="349">
        <v>15936</v>
      </c>
      <c r="V688" s="80">
        <f t="shared" si="228"/>
        <v>3220</v>
      </c>
      <c r="W688" s="79"/>
      <c r="X688" s="322"/>
      <c r="Y688" s="79"/>
      <c r="Z688" s="322"/>
      <c r="AA688" s="79"/>
      <c r="AB688" s="322"/>
      <c r="AC688" s="79"/>
      <c r="AD688" s="322"/>
      <c r="AE688" s="323">
        <f t="shared" si="198"/>
        <v>0</v>
      </c>
      <c r="AF688" s="638">
        <f t="shared" si="208"/>
        <v>0</v>
      </c>
      <c r="AG688" s="322"/>
      <c r="AH688" s="90">
        <f t="shared" si="199"/>
        <v>0</v>
      </c>
      <c r="AI688" s="80">
        <f t="shared" si="200"/>
        <v>0</v>
      </c>
      <c r="AJ688" s="638">
        <f t="shared" si="209"/>
        <v>0</v>
      </c>
      <c r="AK688" s="322"/>
      <c r="AL688" s="80">
        <f t="shared" si="201"/>
        <v>0</v>
      </c>
      <c r="AM688" s="79"/>
      <c r="AN688" s="322"/>
      <c r="AO688" s="79"/>
      <c r="AP688" s="322">
        <v>0</v>
      </c>
      <c r="AQ688" s="79"/>
      <c r="AR688" s="322">
        <v>0</v>
      </c>
      <c r="AS688" s="79"/>
      <c r="AT688" s="322">
        <v>0</v>
      </c>
      <c r="AU688" s="325">
        <f t="shared" si="202"/>
        <v>0</v>
      </c>
      <c r="AV688" s="90">
        <f t="shared" si="230"/>
        <v>0</v>
      </c>
      <c r="AW688" s="324">
        <f t="shared" si="203"/>
        <v>0</v>
      </c>
      <c r="AX688" s="80">
        <f t="shared" si="231"/>
        <v>0</v>
      </c>
      <c r="AY688" s="326">
        <f t="shared" si="204"/>
        <v>3150.5</v>
      </c>
      <c r="AZ688" s="80">
        <f t="shared" si="205"/>
        <v>3220</v>
      </c>
    </row>
    <row r="689" spans="1:52">
      <c r="A689" s="185" t="s">
        <v>792</v>
      </c>
      <c r="B689" s="180" t="s">
        <v>817</v>
      </c>
      <c r="C689" s="235">
        <v>232867</v>
      </c>
      <c r="D689" s="186">
        <v>9</v>
      </c>
      <c r="E689" s="162" t="s">
        <v>442</v>
      </c>
      <c r="F689" s="163" t="s">
        <v>442</v>
      </c>
      <c r="G689" s="79"/>
      <c r="H689" s="322"/>
      <c r="I689" s="79">
        <v>35903</v>
      </c>
      <c r="J689" s="322">
        <v>37625</v>
      </c>
      <c r="K689" s="79">
        <v>8372</v>
      </c>
      <c r="L689" s="322">
        <v>8881</v>
      </c>
      <c r="M689" s="79">
        <v>39035</v>
      </c>
      <c r="N689" s="322">
        <v>40280</v>
      </c>
      <c r="O689" s="323">
        <f t="shared" si="196"/>
        <v>83310</v>
      </c>
      <c r="P689" s="638">
        <f t="shared" si="206"/>
        <v>83310</v>
      </c>
      <c r="Q689" s="322">
        <v>10095</v>
      </c>
      <c r="R689" s="90">
        <f t="shared" si="227"/>
        <v>2777</v>
      </c>
      <c r="S689" s="324">
        <f t="shared" si="197"/>
        <v>86786</v>
      </c>
      <c r="T689" s="638">
        <f t="shared" si="207"/>
        <v>86786</v>
      </c>
      <c r="U689" s="349">
        <v>10951</v>
      </c>
      <c r="V689" s="80">
        <f t="shared" si="228"/>
        <v>2892.8666666666668</v>
      </c>
      <c r="W689" s="79"/>
      <c r="X689" s="322"/>
      <c r="Y689" s="79"/>
      <c r="Z689" s="322"/>
      <c r="AA689" s="79"/>
      <c r="AB689" s="322"/>
      <c r="AC689" s="79"/>
      <c r="AD689" s="322"/>
      <c r="AE689" s="323">
        <f t="shared" si="198"/>
        <v>0</v>
      </c>
      <c r="AF689" s="638">
        <f t="shared" si="208"/>
        <v>0</v>
      </c>
      <c r="AG689" s="322"/>
      <c r="AH689" s="90">
        <f t="shared" si="199"/>
        <v>0</v>
      </c>
      <c r="AI689" s="80">
        <f t="shared" si="200"/>
        <v>0</v>
      </c>
      <c r="AJ689" s="638">
        <f t="shared" si="209"/>
        <v>0</v>
      </c>
      <c r="AK689" s="322"/>
      <c r="AL689" s="80">
        <f t="shared" si="201"/>
        <v>0</v>
      </c>
      <c r="AM689" s="79"/>
      <c r="AN689" s="322"/>
      <c r="AO689" s="79"/>
      <c r="AP689" s="322">
        <v>0</v>
      </c>
      <c r="AQ689" s="79"/>
      <c r="AR689" s="322">
        <v>0</v>
      </c>
      <c r="AS689" s="79"/>
      <c r="AT689" s="322">
        <v>0</v>
      </c>
      <c r="AU689" s="325">
        <f t="shared" si="202"/>
        <v>0</v>
      </c>
      <c r="AV689" s="90">
        <f t="shared" si="230"/>
        <v>0</v>
      </c>
      <c r="AW689" s="324">
        <f t="shared" si="203"/>
        <v>0</v>
      </c>
      <c r="AX689" s="80">
        <f t="shared" si="231"/>
        <v>0</v>
      </c>
      <c r="AY689" s="326">
        <f t="shared" si="204"/>
        <v>2777</v>
      </c>
      <c r="AZ689" s="80">
        <f t="shared" si="205"/>
        <v>2892.8666666666668</v>
      </c>
    </row>
    <row r="690" spans="1:52">
      <c r="A690" s="185" t="s">
        <v>792</v>
      </c>
      <c r="B690" s="180" t="s">
        <v>819</v>
      </c>
      <c r="C690" s="235">
        <v>233116</v>
      </c>
      <c r="D690" s="187">
        <v>9</v>
      </c>
      <c r="E690" s="162" t="s">
        <v>442</v>
      </c>
      <c r="F690" s="163" t="s">
        <v>442</v>
      </c>
      <c r="G690" s="79"/>
      <c r="H690" s="322"/>
      <c r="I690" s="79">
        <v>31661</v>
      </c>
      <c r="J690" s="322">
        <v>32017</v>
      </c>
      <c r="K690" s="79">
        <v>7330</v>
      </c>
      <c r="L690" s="322">
        <v>7398</v>
      </c>
      <c r="M690" s="79">
        <v>34275</v>
      </c>
      <c r="N690" s="322">
        <v>36683</v>
      </c>
      <c r="O690" s="323">
        <f t="shared" si="196"/>
        <v>73266</v>
      </c>
      <c r="P690" s="638">
        <f t="shared" si="206"/>
        <v>73266</v>
      </c>
      <c r="Q690" s="322">
        <v>9210</v>
      </c>
      <c r="R690" s="90">
        <f t="shared" si="227"/>
        <v>2442.1999999999998</v>
      </c>
      <c r="S690" s="324">
        <f t="shared" si="197"/>
        <v>76098</v>
      </c>
      <c r="T690" s="638">
        <f t="shared" si="207"/>
        <v>76098</v>
      </c>
      <c r="U690" s="349">
        <v>11024</v>
      </c>
      <c r="V690" s="80">
        <f t="shared" si="228"/>
        <v>2536.6</v>
      </c>
      <c r="W690" s="79"/>
      <c r="X690" s="322"/>
      <c r="Y690" s="79"/>
      <c r="Z690" s="322"/>
      <c r="AA690" s="79"/>
      <c r="AB690" s="322"/>
      <c r="AC690" s="79"/>
      <c r="AD690" s="322"/>
      <c r="AE690" s="323">
        <f t="shared" si="198"/>
        <v>0</v>
      </c>
      <c r="AF690" s="638">
        <f t="shared" si="208"/>
        <v>0</v>
      </c>
      <c r="AG690" s="322"/>
      <c r="AH690" s="90">
        <f t="shared" si="199"/>
        <v>0</v>
      </c>
      <c r="AI690" s="80">
        <f t="shared" si="200"/>
        <v>0</v>
      </c>
      <c r="AJ690" s="638">
        <f t="shared" si="209"/>
        <v>0</v>
      </c>
      <c r="AK690" s="322"/>
      <c r="AL690" s="80">
        <f t="shared" si="201"/>
        <v>0</v>
      </c>
      <c r="AM690" s="79"/>
      <c r="AN690" s="322"/>
      <c r="AO690" s="79"/>
      <c r="AP690" s="322">
        <v>0</v>
      </c>
      <c r="AQ690" s="79"/>
      <c r="AR690" s="322">
        <v>0</v>
      </c>
      <c r="AS690" s="79"/>
      <c r="AT690" s="322">
        <v>0</v>
      </c>
      <c r="AU690" s="325">
        <f t="shared" si="202"/>
        <v>0</v>
      </c>
      <c r="AV690" s="90">
        <f t="shared" si="230"/>
        <v>0</v>
      </c>
      <c r="AW690" s="324">
        <f t="shared" si="203"/>
        <v>0</v>
      </c>
      <c r="AX690" s="80">
        <f t="shared" si="231"/>
        <v>0</v>
      </c>
      <c r="AY690" s="326">
        <f t="shared" si="204"/>
        <v>2442.1999999999998</v>
      </c>
      <c r="AZ690" s="80">
        <f t="shared" si="205"/>
        <v>2536.6</v>
      </c>
    </row>
    <row r="691" spans="1:52">
      <c r="A691" s="185" t="s">
        <v>792</v>
      </c>
      <c r="B691" s="180" t="s">
        <v>820</v>
      </c>
      <c r="C691" s="235">
        <v>233639</v>
      </c>
      <c r="D691" s="186">
        <v>9</v>
      </c>
      <c r="E691" s="162" t="s">
        <v>442</v>
      </c>
      <c r="F691" s="163" t="s">
        <v>442</v>
      </c>
      <c r="G691" s="79"/>
      <c r="H691" s="322"/>
      <c r="I691" s="79">
        <v>40538</v>
      </c>
      <c r="J691" s="322">
        <v>41097</v>
      </c>
      <c r="K691" s="79">
        <v>10846</v>
      </c>
      <c r="L691" s="322">
        <v>10380</v>
      </c>
      <c r="M691" s="79">
        <v>44170</v>
      </c>
      <c r="N691" s="322">
        <v>46203</v>
      </c>
      <c r="O691" s="323">
        <f t="shared" si="196"/>
        <v>95554</v>
      </c>
      <c r="P691" s="638">
        <f t="shared" si="206"/>
        <v>95554</v>
      </c>
      <c r="Q691" s="322">
        <v>27992</v>
      </c>
      <c r="R691" s="90">
        <f t="shared" si="227"/>
        <v>3185.1333333333332</v>
      </c>
      <c r="S691" s="324">
        <f t="shared" si="197"/>
        <v>97680</v>
      </c>
      <c r="T691" s="638">
        <f t="shared" si="207"/>
        <v>97680</v>
      </c>
      <c r="U691" s="349">
        <v>28253</v>
      </c>
      <c r="V691" s="80">
        <f t="shared" si="228"/>
        <v>3256</v>
      </c>
      <c r="W691" s="79"/>
      <c r="X691" s="322"/>
      <c r="Y691" s="79"/>
      <c r="Z691" s="322"/>
      <c r="AA691" s="79"/>
      <c r="AB691" s="322"/>
      <c r="AC691" s="79"/>
      <c r="AD691" s="322"/>
      <c r="AE691" s="323">
        <f t="shared" si="198"/>
        <v>0</v>
      </c>
      <c r="AF691" s="638">
        <f t="shared" si="208"/>
        <v>0</v>
      </c>
      <c r="AG691" s="322"/>
      <c r="AH691" s="90">
        <f t="shared" si="199"/>
        <v>0</v>
      </c>
      <c r="AI691" s="80">
        <f t="shared" si="200"/>
        <v>0</v>
      </c>
      <c r="AJ691" s="638">
        <f t="shared" si="209"/>
        <v>0</v>
      </c>
      <c r="AK691" s="322"/>
      <c r="AL691" s="80">
        <f t="shared" si="201"/>
        <v>0</v>
      </c>
      <c r="AM691" s="79"/>
      <c r="AN691" s="322"/>
      <c r="AO691" s="79"/>
      <c r="AP691" s="322">
        <v>0</v>
      </c>
      <c r="AQ691" s="79"/>
      <c r="AR691" s="322">
        <v>0</v>
      </c>
      <c r="AS691" s="79"/>
      <c r="AT691" s="322">
        <v>0</v>
      </c>
      <c r="AU691" s="325">
        <f t="shared" si="202"/>
        <v>0</v>
      </c>
      <c r="AV691" s="90">
        <f t="shared" si="230"/>
        <v>0</v>
      </c>
      <c r="AW691" s="324">
        <f t="shared" si="203"/>
        <v>0</v>
      </c>
      <c r="AX691" s="80">
        <f t="shared" si="231"/>
        <v>0</v>
      </c>
      <c r="AY691" s="326">
        <f t="shared" si="204"/>
        <v>3185.1333333333332</v>
      </c>
      <c r="AZ691" s="80">
        <f t="shared" si="205"/>
        <v>3256</v>
      </c>
    </row>
    <row r="692" spans="1:52">
      <c r="A692" s="185" t="s">
        <v>792</v>
      </c>
      <c r="B692" s="180" t="s">
        <v>821</v>
      </c>
      <c r="C692" s="235">
        <v>233648</v>
      </c>
      <c r="D692" s="186">
        <v>9</v>
      </c>
      <c r="E692" s="162" t="s">
        <v>442</v>
      </c>
      <c r="F692" s="163" t="s">
        <v>442</v>
      </c>
      <c r="G692" s="79"/>
      <c r="H692" s="322"/>
      <c r="I692" s="79">
        <v>29674</v>
      </c>
      <c r="J692" s="322">
        <v>28289</v>
      </c>
      <c r="K692" s="79">
        <v>11078</v>
      </c>
      <c r="L692" s="322">
        <v>10823</v>
      </c>
      <c r="M692" s="79">
        <v>30600</v>
      </c>
      <c r="N692" s="322">
        <v>31744</v>
      </c>
      <c r="O692" s="323">
        <f t="shared" si="196"/>
        <v>71352</v>
      </c>
      <c r="P692" s="638">
        <f t="shared" si="206"/>
        <v>71352</v>
      </c>
      <c r="Q692" s="322">
        <v>6700</v>
      </c>
      <c r="R692" s="90">
        <f t="shared" si="227"/>
        <v>2378.4</v>
      </c>
      <c r="S692" s="324">
        <f t="shared" si="197"/>
        <v>70856</v>
      </c>
      <c r="T692" s="638">
        <f t="shared" si="207"/>
        <v>70856</v>
      </c>
      <c r="U692" s="349">
        <v>7828</v>
      </c>
      <c r="V692" s="80">
        <f t="shared" si="228"/>
        <v>2361.8666666666668</v>
      </c>
      <c r="W692" s="79"/>
      <c r="X692" s="322"/>
      <c r="Y692" s="79"/>
      <c r="Z692" s="322"/>
      <c r="AA692" s="79"/>
      <c r="AB692" s="322"/>
      <c r="AC692" s="79"/>
      <c r="AD692" s="322"/>
      <c r="AE692" s="323">
        <f t="shared" si="198"/>
        <v>0</v>
      </c>
      <c r="AF692" s="638">
        <f t="shared" si="208"/>
        <v>0</v>
      </c>
      <c r="AG692" s="322"/>
      <c r="AH692" s="90">
        <f t="shared" si="199"/>
        <v>0</v>
      </c>
      <c r="AI692" s="80">
        <f t="shared" si="200"/>
        <v>0</v>
      </c>
      <c r="AJ692" s="638">
        <f t="shared" si="209"/>
        <v>0</v>
      </c>
      <c r="AK692" s="322"/>
      <c r="AL692" s="80">
        <f t="shared" si="201"/>
        <v>0</v>
      </c>
      <c r="AM692" s="79"/>
      <c r="AN692" s="322"/>
      <c r="AO692" s="79"/>
      <c r="AP692" s="322">
        <v>0</v>
      </c>
      <c r="AQ692" s="79"/>
      <c r="AR692" s="322">
        <v>0</v>
      </c>
      <c r="AS692" s="79"/>
      <c r="AT692" s="322">
        <v>0</v>
      </c>
      <c r="AU692" s="325">
        <f t="shared" si="202"/>
        <v>0</v>
      </c>
      <c r="AV692" s="90">
        <f t="shared" si="230"/>
        <v>0</v>
      </c>
      <c r="AW692" s="324">
        <f t="shared" si="203"/>
        <v>0</v>
      </c>
      <c r="AX692" s="80">
        <f t="shared" si="231"/>
        <v>0</v>
      </c>
      <c r="AY692" s="326">
        <f t="shared" si="204"/>
        <v>2378.4</v>
      </c>
      <c r="AZ692" s="80">
        <f t="shared" si="205"/>
        <v>2361.8666666666668</v>
      </c>
    </row>
    <row r="693" spans="1:52">
      <c r="A693" s="185" t="s">
        <v>792</v>
      </c>
      <c r="B693" s="180" t="s">
        <v>822</v>
      </c>
      <c r="C693" s="235">
        <v>233949</v>
      </c>
      <c r="D693" s="186">
        <v>9</v>
      </c>
      <c r="E693" s="162" t="s">
        <v>442</v>
      </c>
      <c r="F693" s="163" t="s">
        <v>442</v>
      </c>
      <c r="G693" s="79"/>
      <c r="H693" s="322"/>
      <c r="I693" s="79">
        <v>52447</v>
      </c>
      <c r="J693" s="322">
        <v>55152</v>
      </c>
      <c r="K693" s="79">
        <v>15392</v>
      </c>
      <c r="L693" s="322">
        <v>14940</v>
      </c>
      <c r="M693" s="79">
        <v>59002</v>
      </c>
      <c r="N693" s="322">
        <v>62028</v>
      </c>
      <c r="O693" s="323">
        <f t="shared" si="196"/>
        <v>126841</v>
      </c>
      <c r="P693" s="638">
        <f t="shared" si="206"/>
        <v>126841</v>
      </c>
      <c r="Q693" s="322">
        <v>18281</v>
      </c>
      <c r="R693" s="90">
        <f t="shared" si="227"/>
        <v>4228.0333333333338</v>
      </c>
      <c r="S693" s="324">
        <f t="shared" si="197"/>
        <v>132120</v>
      </c>
      <c r="T693" s="638">
        <f t="shared" si="207"/>
        <v>132120</v>
      </c>
      <c r="U693" s="349">
        <v>18001</v>
      </c>
      <c r="V693" s="80">
        <f t="shared" si="228"/>
        <v>4404</v>
      </c>
      <c r="W693" s="79"/>
      <c r="X693" s="322"/>
      <c r="Y693" s="79"/>
      <c r="Z693" s="322"/>
      <c r="AA693" s="79"/>
      <c r="AB693" s="322"/>
      <c r="AC693" s="79"/>
      <c r="AD693" s="322"/>
      <c r="AE693" s="323">
        <f t="shared" si="198"/>
        <v>0</v>
      </c>
      <c r="AF693" s="638">
        <f t="shared" si="208"/>
        <v>0</v>
      </c>
      <c r="AG693" s="322"/>
      <c r="AH693" s="90">
        <f t="shared" si="199"/>
        <v>0</v>
      </c>
      <c r="AI693" s="80">
        <f t="shared" si="200"/>
        <v>0</v>
      </c>
      <c r="AJ693" s="638">
        <f t="shared" si="209"/>
        <v>0</v>
      </c>
      <c r="AK693" s="322"/>
      <c r="AL693" s="80">
        <f t="shared" si="201"/>
        <v>0</v>
      </c>
      <c r="AM693" s="79"/>
      <c r="AN693" s="322"/>
      <c r="AO693" s="79"/>
      <c r="AP693" s="322">
        <v>0</v>
      </c>
      <c r="AQ693" s="79"/>
      <c r="AR693" s="322">
        <v>0</v>
      </c>
      <c r="AS693" s="79"/>
      <c r="AT693" s="322">
        <v>0</v>
      </c>
      <c r="AU693" s="325">
        <f t="shared" si="202"/>
        <v>0</v>
      </c>
      <c r="AV693" s="90">
        <f t="shared" si="230"/>
        <v>0</v>
      </c>
      <c r="AW693" s="324">
        <f t="shared" si="203"/>
        <v>0</v>
      </c>
      <c r="AX693" s="80">
        <f t="shared" si="231"/>
        <v>0</v>
      </c>
      <c r="AY693" s="326">
        <f t="shared" si="204"/>
        <v>4228.0333333333338</v>
      </c>
      <c r="AZ693" s="80">
        <f t="shared" si="205"/>
        <v>4404</v>
      </c>
    </row>
    <row r="694" spans="1:52">
      <c r="A694" s="185" t="s">
        <v>792</v>
      </c>
      <c r="B694" s="180" t="s">
        <v>823</v>
      </c>
      <c r="C694" s="235">
        <v>231873</v>
      </c>
      <c r="D694" s="186">
        <v>10</v>
      </c>
      <c r="E694" s="162" t="s">
        <v>442</v>
      </c>
      <c r="F694" s="163" t="s">
        <v>442</v>
      </c>
      <c r="G694" s="79"/>
      <c r="H694" s="322"/>
      <c r="I694" s="79">
        <v>9823</v>
      </c>
      <c r="J694" s="322">
        <v>9627</v>
      </c>
      <c r="K694" s="79">
        <v>1951</v>
      </c>
      <c r="L694" s="322">
        <v>2559</v>
      </c>
      <c r="M694" s="79">
        <v>10843</v>
      </c>
      <c r="N694" s="322">
        <v>11023</v>
      </c>
      <c r="O694" s="323">
        <f t="shared" si="196"/>
        <v>22617</v>
      </c>
      <c r="P694" s="638">
        <f t="shared" si="206"/>
        <v>22617</v>
      </c>
      <c r="Q694" s="349">
        <v>3843</v>
      </c>
      <c r="R694" s="90">
        <f t="shared" si="227"/>
        <v>753.9</v>
      </c>
      <c r="S694" s="324">
        <f t="shared" si="197"/>
        <v>23209</v>
      </c>
      <c r="T694" s="638">
        <f t="shared" si="207"/>
        <v>23209</v>
      </c>
      <c r="U694" s="322">
        <v>3823</v>
      </c>
      <c r="V694" s="80">
        <f t="shared" si="228"/>
        <v>773.63333333333333</v>
      </c>
      <c r="W694" s="79"/>
      <c r="X694" s="322"/>
      <c r="Y694" s="79"/>
      <c r="Z694" s="322"/>
      <c r="AA694" s="79"/>
      <c r="AB694" s="322"/>
      <c r="AC694" s="79"/>
      <c r="AD694" s="322"/>
      <c r="AE694" s="323">
        <f t="shared" si="198"/>
        <v>0</v>
      </c>
      <c r="AF694" s="638">
        <f t="shared" si="208"/>
        <v>0</v>
      </c>
      <c r="AG694" s="322"/>
      <c r="AH694" s="90">
        <f t="shared" si="199"/>
        <v>0</v>
      </c>
      <c r="AI694" s="80">
        <f t="shared" si="200"/>
        <v>0</v>
      </c>
      <c r="AJ694" s="638">
        <f t="shared" si="209"/>
        <v>0</v>
      </c>
      <c r="AK694" s="322"/>
      <c r="AL694" s="80">
        <f t="shared" si="201"/>
        <v>0</v>
      </c>
      <c r="AM694" s="79"/>
      <c r="AN694" s="322"/>
      <c r="AO694" s="79"/>
      <c r="AP694" s="322">
        <v>0</v>
      </c>
      <c r="AQ694" s="79"/>
      <c r="AR694" s="322">
        <v>0</v>
      </c>
      <c r="AS694" s="79"/>
      <c r="AT694" s="322">
        <v>0</v>
      </c>
      <c r="AU694" s="325">
        <f t="shared" si="202"/>
        <v>0</v>
      </c>
      <c r="AV694" s="90">
        <f t="shared" si="230"/>
        <v>0</v>
      </c>
      <c r="AW694" s="324">
        <f t="shared" si="203"/>
        <v>0</v>
      </c>
      <c r="AX694" s="80">
        <f t="shared" si="231"/>
        <v>0</v>
      </c>
      <c r="AY694" s="326">
        <f t="shared" si="204"/>
        <v>753.9</v>
      </c>
      <c r="AZ694" s="80">
        <f t="shared" si="205"/>
        <v>773.63333333333333</v>
      </c>
    </row>
    <row r="695" spans="1:52">
      <c r="A695" s="185" t="s">
        <v>792</v>
      </c>
      <c r="B695" s="180" t="s">
        <v>824</v>
      </c>
      <c r="C695" s="235">
        <v>232052</v>
      </c>
      <c r="D695" s="186">
        <v>10</v>
      </c>
      <c r="E695" s="162" t="s">
        <v>442</v>
      </c>
      <c r="F695" s="163" t="s">
        <v>442</v>
      </c>
      <c r="G695" s="79"/>
      <c r="H695" s="322"/>
      <c r="I695" s="79">
        <v>6527</v>
      </c>
      <c r="J695" s="322">
        <v>7274</v>
      </c>
      <c r="K695" s="79">
        <v>818</v>
      </c>
      <c r="L695" s="322">
        <v>1211</v>
      </c>
      <c r="M695" s="79">
        <v>7779</v>
      </c>
      <c r="N695" s="322">
        <v>7814</v>
      </c>
      <c r="O695" s="323">
        <f t="shared" si="196"/>
        <v>15124</v>
      </c>
      <c r="P695" s="638">
        <f t="shared" si="206"/>
        <v>15124</v>
      </c>
      <c r="Q695" s="349">
        <v>2465</v>
      </c>
      <c r="R695" s="90">
        <f t="shared" si="227"/>
        <v>504.13333333333333</v>
      </c>
      <c r="S695" s="324">
        <f t="shared" si="197"/>
        <v>16299</v>
      </c>
      <c r="T695" s="638">
        <f t="shared" si="207"/>
        <v>16299</v>
      </c>
      <c r="U695" s="322">
        <v>2805</v>
      </c>
      <c r="V695" s="80">
        <f t="shared" si="228"/>
        <v>543.29999999999995</v>
      </c>
      <c r="W695" s="79"/>
      <c r="X695" s="322"/>
      <c r="Y695" s="79"/>
      <c r="Z695" s="322"/>
      <c r="AA695" s="79"/>
      <c r="AB695" s="322"/>
      <c r="AC695" s="79"/>
      <c r="AD695" s="322"/>
      <c r="AE695" s="323">
        <f t="shared" si="198"/>
        <v>0</v>
      </c>
      <c r="AF695" s="638">
        <f t="shared" si="208"/>
        <v>0</v>
      </c>
      <c r="AG695" s="322"/>
      <c r="AH695" s="90">
        <f t="shared" si="199"/>
        <v>0</v>
      </c>
      <c r="AI695" s="80">
        <f t="shared" si="200"/>
        <v>0</v>
      </c>
      <c r="AJ695" s="638">
        <f t="shared" si="209"/>
        <v>0</v>
      </c>
      <c r="AK695" s="322"/>
      <c r="AL695" s="80">
        <f t="shared" si="201"/>
        <v>0</v>
      </c>
      <c r="AM695" s="79"/>
      <c r="AN695" s="322"/>
      <c r="AO695" s="79"/>
      <c r="AP695" s="322">
        <v>0</v>
      </c>
      <c r="AQ695" s="79"/>
      <c r="AR695" s="322">
        <v>0</v>
      </c>
      <c r="AS695" s="79"/>
      <c r="AT695" s="322">
        <v>0</v>
      </c>
      <c r="AU695" s="325">
        <f t="shared" si="202"/>
        <v>0</v>
      </c>
      <c r="AV695" s="90">
        <f t="shared" si="230"/>
        <v>0</v>
      </c>
      <c r="AW695" s="324">
        <f t="shared" si="203"/>
        <v>0</v>
      </c>
      <c r="AX695" s="80">
        <f t="shared" si="231"/>
        <v>0</v>
      </c>
      <c r="AY695" s="326">
        <f t="shared" si="204"/>
        <v>504.13333333333333</v>
      </c>
      <c r="AZ695" s="80">
        <f t="shared" si="205"/>
        <v>543.29999999999995</v>
      </c>
    </row>
    <row r="696" spans="1:52">
      <c r="A696" s="185" t="s">
        <v>792</v>
      </c>
      <c r="B696" s="180" t="s">
        <v>825</v>
      </c>
      <c r="C696" s="235">
        <v>232788</v>
      </c>
      <c r="D696" s="186">
        <v>10</v>
      </c>
      <c r="E696" s="162" t="s">
        <v>442</v>
      </c>
      <c r="F696" s="163" t="s">
        <v>442</v>
      </c>
      <c r="G696" s="79"/>
      <c r="H696" s="322"/>
      <c r="I696" s="79">
        <v>22021</v>
      </c>
      <c r="J696" s="322">
        <v>23143</v>
      </c>
      <c r="K696" s="79">
        <v>8826</v>
      </c>
      <c r="L696" s="322">
        <v>7842</v>
      </c>
      <c r="M696" s="79">
        <v>26554</v>
      </c>
      <c r="N696" s="322">
        <v>26837</v>
      </c>
      <c r="O696" s="323">
        <f t="shared" si="196"/>
        <v>57401</v>
      </c>
      <c r="P696" s="638">
        <f t="shared" si="206"/>
        <v>57401</v>
      </c>
      <c r="Q696" s="349">
        <v>8417</v>
      </c>
      <c r="R696" s="90">
        <f t="shared" si="227"/>
        <v>1913.3666666666666</v>
      </c>
      <c r="S696" s="324">
        <f t="shared" si="197"/>
        <v>57822</v>
      </c>
      <c r="T696" s="638">
        <f t="shared" si="207"/>
        <v>57822</v>
      </c>
      <c r="U696" s="322">
        <v>8822</v>
      </c>
      <c r="V696" s="80">
        <f t="shared" si="228"/>
        <v>1927.4</v>
      </c>
      <c r="W696" s="79"/>
      <c r="X696" s="322"/>
      <c r="Y696" s="79"/>
      <c r="Z696" s="322"/>
      <c r="AA696" s="79"/>
      <c r="AB696" s="322"/>
      <c r="AC696" s="79"/>
      <c r="AD696" s="322"/>
      <c r="AE696" s="323">
        <f t="shared" si="198"/>
        <v>0</v>
      </c>
      <c r="AF696" s="638">
        <f t="shared" si="208"/>
        <v>0</v>
      </c>
      <c r="AG696" s="322"/>
      <c r="AH696" s="90">
        <f t="shared" si="199"/>
        <v>0</v>
      </c>
      <c r="AI696" s="80">
        <f t="shared" si="200"/>
        <v>0</v>
      </c>
      <c r="AJ696" s="638">
        <f t="shared" si="209"/>
        <v>0</v>
      </c>
      <c r="AK696" s="322"/>
      <c r="AL696" s="80">
        <f t="shared" si="201"/>
        <v>0</v>
      </c>
      <c r="AM696" s="79"/>
      <c r="AN696" s="322"/>
      <c r="AO696" s="79"/>
      <c r="AP696" s="322">
        <v>0</v>
      </c>
      <c r="AQ696" s="79"/>
      <c r="AR696" s="322">
        <v>0</v>
      </c>
      <c r="AS696" s="79"/>
      <c r="AT696" s="322">
        <v>0</v>
      </c>
      <c r="AU696" s="325">
        <f t="shared" si="202"/>
        <v>0</v>
      </c>
      <c r="AV696" s="90">
        <f t="shared" si="230"/>
        <v>0</v>
      </c>
      <c r="AW696" s="324">
        <f t="shared" si="203"/>
        <v>0</v>
      </c>
      <c r="AX696" s="80">
        <f t="shared" si="231"/>
        <v>0</v>
      </c>
      <c r="AY696" s="326">
        <f t="shared" si="204"/>
        <v>1913.3666666666666</v>
      </c>
      <c r="AZ696" s="80">
        <f t="shared" si="205"/>
        <v>1927.4</v>
      </c>
    </row>
    <row r="697" spans="1:52">
      <c r="A697" s="185" t="s">
        <v>792</v>
      </c>
      <c r="B697" s="404" t="s">
        <v>818</v>
      </c>
      <c r="C697" s="402">
        <v>233019</v>
      </c>
      <c r="D697" s="413">
        <v>10</v>
      </c>
      <c r="E697" s="162" t="s">
        <v>442</v>
      </c>
      <c r="F697" s="163" t="s">
        <v>442</v>
      </c>
      <c r="G697" s="79"/>
      <c r="H697" s="322"/>
      <c r="I697" s="79">
        <v>22858</v>
      </c>
      <c r="J697" s="322">
        <v>24133</v>
      </c>
      <c r="K697" s="79">
        <v>6685</v>
      </c>
      <c r="L697" s="322">
        <v>6242</v>
      </c>
      <c r="M697" s="79">
        <v>24934</v>
      </c>
      <c r="N697" s="322">
        <v>28933</v>
      </c>
      <c r="O697" s="323">
        <f t="shared" si="196"/>
        <v>54477</v>
      </c>
      <c r="P697" s="638">
        <f t="shared" si="206"/>
        <v>54477</v>
      </c>
      <c r="Q697" s="349">
        <v>9481</v>
      </c>
      <c r="R697" s="90">
        <f t="shared" si="227"/>
        <v>1815.9</v>
      </c>
      <c r="S697" s="324">
        <f t="shared" si="197"/>
        <v>59308</v>
      </c>
      <c r="T697" s="638">
        <f t="shared" si="207"/>
        <v>59308</v>
      </c>
      <c r="U697" s="322">
        <v>11337</v>
      </c>
      <c r="V697" s="80">
        <f t="shared" si="228"/>
        <v>1976.9333333333334</v>
      </c>
      <c r="W697" s="79"/>
      <c r="X697" s="322"/>
      <c r="Y697" s="79"/>
      <c r="Z697" s="322"/>
      <c r="AA697" s="79"/>
      <c r="AB697" s="322"/>
      <c r="AC697" s="79"/>
      <c r="AD697" s="322"/>
      <c r="AE697" s="323">
        <f t="shared" si="198"/>
        <v>0</v>
      </c>
      <c r="AF697" s="638">
        <f t="shared" si="208"/>
        <v>0</v>
      </c>
      <c r="AG697" s="322"/>
      <c r="AH697" s="90">
        <f t="shared" si="199"/>
        <v>0</v>
      </c>
      <c r="AI697" s="80">
        <f t="shared" si="200"/>
        <v>0</v>
      </c>
      <c r="AJ697" s="638">
        <f t="shared" si="209"/>
        <v>0</v>
      </c>
      <c r="AK697" s="322"/>
      <c r="AL697" s="80">
        <f t="shared" si="201"/>
        <v>0</v>
      </c>
      <c r="AM697" s="79"/>
      <c r="AN697" s="322"/>
      <c r="AO697" s="79"/>
      <c r="AP697" s="322">
        <v>0</v>
      </c>
      <c r="AQ697" s="79"/>
      <c r="AR697" s="322">
        <v>0</v>
      </c>
      <c r="AS697" s="79"/>
      <c r="AT697" s="322">
        <v>0</v>
      </c>
      <c r="AU697" s="325">
        <f t="shared" si="202"/>
        <v>0</v>
      </c>
      <c r="AV697" s="90">
        <f t="shared" si="230"/>
        <v>0</v>
      </c>
      <c r="AW697" s="324">
        <f t="shared" si="203"/>
        <v>0</v>
      </c>
      <c r="AX697" s="80">
        <f t="shared" si="231"/>
        <v>0</v>
      </c>
      <c r="AY697" s="326">
        <f t="shared" si="204"/>
        <v>1815.9</v>
      </c>
      <c r="AZ697" s="80">
        <f t="shared" si="205"/>
        <v>1976.9333333333334</v>
      </c>
    </row>
    <row r="698" spans="1:52">
      <c r="A698" s="185" t="s">
        <v>792</v>
      </c>
      <c r="B698" s="180" t="s">
        <v>826</v>
      </c>
      <c r="C698" s="235">
        <v>233037</v>
      </c>
      <c r="D698" s="186">
        <v>10</v>
      </c>
      <c r="E698" s="162" t="s">
        <v>442</v>
      </c>
      <c r="F698" s="163" t="s">
        <v>442</v>
      </c>
      <c r="G698" s="79"/>
      <c r="H698" s="322"/>
      <c r="I698" s="79">
        <v>10475</v>
      </c>
      <c r="J698" s="322">
        <v>11134</v>
      </c>
      <c r="K698" s="79">
        <v>3176</v>
      </c>
      <c r="L698" s="322">
        <v>3511</v>
      </c>
      <c r="M698" s="79">
        <v>11413</v>
      </c>
      <c r="N698" s="322">
        <v>11795</v>
      </c>
      <c r="O698" s="323">
        <f t="shared" si="196"/>
        <v>25064</v>
      </c>
      <c r="P698" s="638">
        <f t="shared" si="206"/>
        <v>25064</v>
      </c>
      <c r="Q698" s="349">
        <v>4279</v>
      </c>
      <c r="R698" s="90">
        <f t="shared" si="227"/>
        <v>835.4666666666667</v>
      </c>
      <c r="S698" s="324">
        <f t="shared" si="197"/>
        <v>26440</v>
      </c>
      <c r="T698" s="638">
        <f t="shared" si="207"/>
        <v>26440</v>
      </c>
      <c r="U698" s="322">
        <v>4379</v>
      </c>
      <c r="V698" s="80">
        <f t="shared" si="228"/>
        <v>881.33333333333337</v>
      </c>
      <c r="W698" s="79"/>
      <c r="X698" s="322"/>
      <c r="Y698" s="79"/>
      <c r="Z698" s="322"/>
      <c r="AA698" s="79"/>
      <c r="AB698" s="322"/>
      <c r="AC698" s="79"/>
      <c r="AD698" s="322"/>
      <c r="AE698" s="323">
        <f t="shared" si="198"/>
        <v>0</v>
      </c>
      <c r="AF698" s="638">
        <f t="shared" si="208"/>
        <v>0</v>
      </c>
      <c r="AG698" s="322"/>
      <c r="AH698" s="90">
        <f t="shared" si="199"/>
        <v>0</v>
      </c>
      <c r="AI698" s="80">
        <f t="shared" si="200"/>
        <v>0</v>
      </c>
      <c r="AJ698" s="638">
        <f t="shared" si="209"/>
        <v>0</v>
      </c>
      <c r="AK698" s="322"/>
      <c r="AL698" s="80">
        <f t="shared" si="201"/>
        <v>0</v>
      </c>
      <c r="AM698" s="79"/>
      <c r="AN698" s="322"/>
      <c r="AO698" s="79"/>
      <c r="AP698" s="322">
        <v>0</v>
      </c>
      <c r="AQ698" s="79"/>
      <c r="AR698" s="322">
        <v>0</v>
      </c>
      <c r="AS698" s="79"/>
      <c r="AT698" s="322">
        <v>0</v>
      </c>
      <c r="AU698" s="325">
        <f t="shared" si="202"/>
        <v>0</v>
      </c>
      <c r="AV698" s="90">
        <f t="shared" si="230"/>
        <v>0</v>
      </c>
      <c r="AW698" s="324">
        <f t="shared" si="203"/>
        <v>0</v>
      </c>
      <c r="AX698" s="80">
        <f t="shared" si="231"/>
        <v>0</v>
      </c>
      <c r="AY698" s="326">
        <f t="shared" si="204"/>
        <v>835.4666666666667</v>
      </c>
      <c r="AZ698" s="80">
        <f t="shared" si="205"/>
        <v>881.33333333333337</v>
      </c>
    </row>
    <row r="699" spans="1:52">
      <c r="A699" s="185" t="s">
        <v>792</v>
      </c>
      <c r="B699" s="180" t="s">
        <v>827</v>
      </c>
      <c r="C699" s="235">
        <v>233310</v>
      </c>
      <c r="D699" s="186">
        <v>10</v>
      </c>
      <c r="E699" s="162" t="s">
        <v>442</v>
      </c>
      <c r="F699" s="163" t="s">
        <v>442</v>
      </c>
      <c r="G699" s="79"/>
      <c r="H699" s="322"/>
      <c r="I699" s="79">
        <v>20055</v>
      </c>
      <c r="J699" s="322">
        <v>21383</v>
      </c>
      <c r="K699" s="79">
        <v>3526</v>
      </c>
      <c r="L699" s="322">
        <v>4107</v>
      </c>
      <c r="M699" s="79">
        <v>22452</v>
      </c>
      <c r="N699" s="322">
        <v>23920</v>
      </c>
      <c r="O699" s="323">
        <f t="shared" si="196"/>
        <v>46033</v>
      </c>
      <c r="P699" s="638">
        <f t="shared" si="206"/>
        <v>46033</v>
      </c>
      <c r="Q699" s="349">
        <v>15598</v>
      </c>
      <c r="R699" s="90">
        <f t="shared" si="227"/>
        <v>1534.4333333333334</v>
      </c>
      <c r="S699" s="324">
        <f t="shared" si="197"/>
        <v>49410</v>
      </c>
      <c r="T699" s="638">
        <f t="shared" si="207"/>
        <v>49410</v>
      </c>
      <c r="U699" s="322">
        <v>16894</v>
      </c>
      <c r="V699" s="80">
        <f t="shared" si="228"/>
        <v>1647</v>
      </c>
      <c r="W699" s="79"/>
      <c r="X699" s="322"/>
      <c r="Y699" s="79"/>
      <c r="Z699" s="322"/>
      <c r="AA699" s="79"/>
      <c r="AB699" s="322"/>
      <c r="AC699" s="79"/>
      <c r="AD699" s="322"/>
      <c r="AE699" s="323">
        <f t="shared" si="198"/>
        <v>0</v>
      </c>
      <c r="AF699" s="638">
        <f t="shared" si="208"/>
        <v>0</v>
      </c>
      <c r="AG699" s="322"/>
      <c r="AH699" s="90">
        <f t="shared" si="199"/>
        <v>0</v>
      </c>
      <c r="AI699" s="80">
        <f t="shared" si="200"/>
        <v>0</v>
      </c>
      <c r="AJ699" s="638">
        <f t="shared" si="209"/>
        <v>0</v>
      </c>
      <c r="AK699" s="322"/>
      <c r="AL699" s="80">
        <f t="shared" si="201"/>
        <v>0</v>
      </c>
      <c r="AM699" s="79"/>
      <c r="AN699" s="322"/>
      <c r="AO699" s="79"/>
      <c r="AP699" s="322">
        <v>0</v>
      </c>
      <c r="AQ699" s="79"/>
      <c r="AR699" s="322">
        <v>0</v>
      </c>
      <c r="AS699" s="79"/>
      <c r="AT699" s="322">
        <v>0</v>
      </c>
      <c r="AU699" s="325">
        <f t="shared" si="202"/>
        <v>0</v>
      </c>
      <c r="AV699" s="90">
        <f t="shared" si="230"/>
        <v>0</v>
      </c>
      <c r="AW699" s="324">
        <f t="shared" si="203"/>
        <v>0</v>
      </c>
      <c r="AX699" s="80">
        <f t="shared" si="231"/>
        <v>0</v>
      </c>
      <c r="AY699" s="326">
        <f t="shared" si="204"/>
        <v>1534.4333333333334</v>
      </c>
      <c r="AZ699" s="80">
        <f t="shared" si="205"/>
        <v>1647</v>
      </c>
    </row>
    <row r="700" spans="1:52">
      <c r="A700" s="185" t="s">
        <v>792</v>
      </c>
      <c r="B700" s="180" t="s">
        <v>828</v>
      </c>
      <c r="C700" s="235">
        <v>233338</v>
      </c>
      <c r="D700" s="186">
        <v>10</v>
      </c>
      <c r="E700" s="162" t="s">
        <v>442</v>
      </c>
      <c r="F700" s="163" t="s">
        <v>442</v>
      </c>
      <c r="G700" s="79"/>
      <c r="H700" s="322"/>
      <c r="I700" s="79">
        <v>11673</v>
      </c>
      <c r="J700" s="322">
        <v>11280</v>
      </c>
      <c r="K700" s="79">
        <v>2416</v>
      </c>
      <c r="L700" s="322">
        <v>2538</v>
      </c>
      <c r="M700" s="79">
        <v>13764</v>
      </c>
      <c r="N700" s="322">
        <v>16855</v>
      </c>
      <c r="O700" s="323">
        <f t="shared" si="196"/>
        <v>27853</v>
      </c>
      <c r="P700" s="638">
        <f t="shared" si="206"/>
        <v>27853</v>
      </c>
      <c r="Q700" s="349">
        <v>1973</v>
      </c>
      <c r="R700" s="90">
        <f t="shared" si="227"/>
        <v>928.43333333333328</v>
      </c>
      <c r="S700" s="324">
        <f t="shared" si="197"/>
        <v>30673</v>
      </c>
      <c r="T700" s="638">
        <f t="shared" si="207"/>
        <v>30673</v>
      </c>
      <c r="U700" s="322">
        <v>2418</v>
      </c>
      <c r="V700" s="80">
        <f t="shared" si="228"/>
        <v>1022.4333333333333</v>
      </c>
      <c r="W700" s="79"/>
      <c r="X700" s="322"/>
      <c r="Y700" s="79"/>
      <c r="Z700" s="322"/>
      <c r="AA700" s="79"/>
      <c r="AB700" s="322"/>
      <c r="AC700" s="79"/>
      <c r="AD700" s="322"/>
      <c r="AE700" s="323">
        <f t="shared" si="198"/>
        <v>0</v>
      </c>
      <c r="AF700" s="638">
        <f t="shared" si="208"/>
        <v>0</v>
      </c>
      <c r="AG700" s="322"/>
      <c r="AH700" s="90">
        <f t="shared" si="199"/>
        <v>0</v>
      </c>
      <c r="AI700" s="80">
        <f t="shared" si="200"/>
        <v>0</v>
      </c>
      <c r="AJ700" s="638">
        <f t="shared" si="209"/>
        <v>0</v>
      </c>
      <c r="AK700" s="322"/>
      <c r="AL700" s="80">
        <f t="shared" si="201"/>
        <v>0</v>
      </c>
      <c r="AM700" s="79"/>
      <c r="AN700" s="322"/>
      <c r="AO700" s="79"/>
      <c r="AP700" s="322">
        <v>0</v>
      </c>
      <c r="AQ700" s="79"/>
      <c r="AR700" s="322">
        <v>0</v>
      </c>
      <c r="AS700" s="79"/>
      <c r="AT700" s="322">
        <v>0</v>
      </c>
      <c r="AU700" s="325">
        <f t="shared" si="202"/>
        <v>0</v>
      </c>
      <c r="AV700" s="90">
        <f t="shared" si="230"/>
        <v>0</v>
      </c>
      <c r="AW700" s="324">
        <f t="shared" si="203"/>
        <v>0</v>
      </c>
      <c r="AX700" s="80">
        <f t="shared" si="231"/>
        <v>0</v>
      </c>
      <c r="AY700" s="326">
        <f t="shared" si="204"/>
        <v>928.43333333333328</v>
      </c>
      <c r="AZ700" s="80">
        <f t="shared" si="205"/>
        <v>1022.4333333333333</v>
      </c>
    </row>
    <row r="701" spans="1:52">
      <c r="A701" s="185" t="s">
        <v>792</v>
      </c>
      <c r="B701" s="180" t="s">
        <v>829</v>
      </c>
      <c r="C701" s="235">
        <v>233903</v>
      </c>
      <c r="D701" s="186">
        <v>10</v>
      </c>
      <c r="E701" s="162" t="s">
        <v>442</v>
      </c>
      <c r="F701" s="163" t="s">
        <v>442</v>
      </c>
      <c r="G701" s="79"/>
      <c r="H701" s="322"/>
      <c r="I701" s="79">
        <v>19254</v>
      </c>
      <c r="J701" s="322">
        <v>18786</v>
      </c>
      <c r="K701" s="79">
        <v>5358</v>
      </c>
      <c r="L701" s="322">
        <v>5831</v>
      </c>
      <c r="M701" s="79">
        <v>22529</v>
      </c>
      <c r="N701" s="322">
        <v>22702</v>
      </c>
      <c r="O701" s="323">
        <f t="shared" si="196"/>
        <v>47141</v>
      </c>
      <c r="P701" s="638">
        <f t="shared" si="206"/>
        <v>47141</v>
      </c>
      <c r="Q701" s="349">
        <v>5386</v>
      </c>
      <c r="R701" s="90">
        <f t="shared" si="227"/>
        <v>1571.3666666666666</v>
      </c>
      <c r="S701" s="324">
        <f t="shared" si="197"/>
        <v>47319</v>
      </c>
      <c r="T701" s="638">
        <f t="shared" si="207"/>
        <v>47319</v>
      </c>
      <c r="U701" s="322">
        <v>6237</v>
      </c>
      <c r="V701" s="80">
        <f t="shared" si="228"/>
        <v>1577.3</v>
      </c>
      <c r="W701" s="79"/>
      <c r="X701" s="322"/>
      <c r="Y701" s="79"/>
      <c r="Z701" s="322"/>
      <c r="AA701" s="79"/>
      <c r="AB701" s="322"/>
      <c r="AC701" s="79"/>
      <c r="AD701" s="322"/>
      <c r="AE701" s="323">
        <f t="shared" si="198"/>
        <v>0</v>
      </c>
      <c r="AF701" s="638">
        <f t="shared" si="208"/>
        <v>0</v>
      </c>
      <c r="AG701" s="322"/>
      <c r="AH701" s="90">
        <f t="shared" si="199"/>
        <v>0</v>
      </c>
      <c r="AI701" s="80">
        <f t="shared" si="200"/>
        <v>0</v>
      </c>
      <c r="AJ701" s="638">
        <f t="shared" si="209"/>
        <v>0</v>
      </c>
      <c r="AK701" s="322"/>
      <c r="AL701" s="80">
        <f t="shared" si="201"/>
        <v>0</v>
      </c>
      <c r="AM701" s="79"/>
      <c r="AN701" s="322"/>
      <c r="AO701" s="79"/>
      <c r="AP701" s="322">
        <v>0</v>
      </c>
      <c r="AQ701" s="79"/>
      <c r="AR701" s="322">
        <v>0</v>
      </c>
      <c r="AS701" s="79"/>
      <c r="AT701" s="322">
        <v>0</v>
      </c>
      <c r="AU701" s="325">
        <f t="shared" si="202"/>
        <v>0</v>
      </c>
      <c r="AV701" s="90">
        <f t="shared" si="230"/>
        <v>0</v>
      </c>
      <c r="AW701" s="324">
        <f t="shared" si="203"/>
        <v>0</v>
      </c>
      <c r="AX701" s="80">
        <f t="shared" si="231"/>
        <v>0</v>
      </c>
      <c r="AY701" s="326">
        <f t="shared" si="204"/>
        <v>1571.3666666666666</v>
      </c>
      <c r="AZ701" s="80">
        <f t="shared" si="205"/>
        <v>1577.3</v>
      </c>
    </row>
    <row r="702" spans="1:52">
      <c r="A702" s="185" t="s">
        <v>792</v>
      </c>
      <c r="B702" s="180" t="s">
        <v>830</v>
      </c>
      <c r="C702" s="235">
        <v>234377</v>
      </c>
      <c r="D702" s="186">
        <v>10</v>
      </c>
      <c r="E702" s="162" t="s">
        <v>442</v>
      </c>
      <c r="F702" s="163" t="s">
        <v>442</v>
      </c>
      <c r="G702" s="79"/>
      <c r="H702" s="322"/>
      <c r="I702" s="79">
        <v>21698</v>
      </c>
      <c r="J702" s="322">
        <v>23199</v>
      </c>
      <c r="K702" s="79">
        <v>6513</v>
      </c>
      <c r="L702" s="322">
        <v>6948</v>
      </c>
      <c r="M702" s="79">
        <v>23653</v>
      </c>
      <c r="N702" s="322">
        <v>27404</v>
      </c>
      <c r="O702" s="323">
        <f t="shared" si="196"/>
        <v>51864</v>
      </c>
      <c r="P702" s="638">
        <f t="shared" si="206"/>
        <v>51864</v>
      </c>
      <c r="Q702" s="349">
        <v>9259</v>
      </c>
      <c r="R702" s="90">
        <f t="shared" si="227"/>
        <v>1728.8</v>
      </c>
      <c r="S702" s="324">
        <f t="shared" si="197"/>
        <v>57551</v>
      </c>
      <c r="T702" s="638">
        <f t="shared" si="207"/>
        <v>57551</v>
      </c>
      <c r="U702" s="322">
        <v>11250</v>
      </c>
      <c r="V702" s="80">
        <f t="shared" si="228"/>
        <v>1918.3666666666666</v>
      </c>
      <c r="W702" s="79"/>
      <c r="X702" s="322"/>
      <c r="Y702" s="79"/>
      <c r="Z702" s="322"/>
      <c r="AA702" s="79"/>
      <c r="AB702" s="322"/>
      <c r="AC702" s="79"/>
      <c r="AD702" s="322"/>
      <c r="AE702" s="323">
        <f t="shared" si="198"/>
        <v>0</v>
      </c>
      <c r="AF702" s="638">
        <f t="shared" si="208"/>
        <v>0</v>
      </c>
      <c r="AG702" s="322"/>
      <c r="AH702" s="90">
        <f t="shared" si="199"/>
        <v>0</v>
      </c>
      <c r="AI702" s="80">
        <f t="shared" si="200"/>
        <v>0</v>
      </c>
      <c r="AJ702" s="638">
        <f t="shared" si="209"/>
        <v>0</v>
      </c>
      <c r="AK702" s="322"/>
      <c r="AL702" s="80">
        <f t="shared" si="201"/>
        <v>0</v>
      </c>
      <c r="AM702" s="79"/>
      <c r="AN702" s="322"/>
      <c r="AO702" s="79"/>
      <c r="AP702" s="322">
        <v>0</v>
      </c>
      <c r="AQ702" s="79"/>
      <c r="AR702" s="322">
        <v>0</v>
      </c>
      <c r="AS702" s="79"/>
      <c r="AT702" s="322">
        <v>0</v>
      </c>
      <c r="AU702" s="325">
        <f t="shared" si="202"/>
        <v>0</v>
      </c>
      <c r="AV702" s="90">
        <f t="shared" si="230"/>
        <v>0</v>
      </c>
      <c r="AW702" s="324">
        <f t="shared" si="203"/>
        <v>0</v>
      </c>
      <c r="AX702" s="80">
        <f t="shared" si="231"/>
        <v>0</v>
      </c>
      <c r="AY702" s="326">
        <f t="shared" si="204"/>
        <v>1728.8</v>
      </c>
      <c r="AZ702" s="80">
        <f t="shared" si="205"/>
        <v>1918.3666666666666</v>
      </c>
    </row>
    <row r="703" spans="1:52">
      <c r="A703" s="185" t="s">
        <v>792</v>
      </c>
      <c r="B703" s="180" t="s">
        <v>902</v>
      </c>
      <c r="C703" s="235">
        <v>234085</v>
      </c>
      <c r="D703" s="186">
        <v>15</v>
      </c>
      <c r="E703" s="162" t="s">
        <v>442</v>
      </c>
      <c r="F703" s="163" t="s">
        <v>442</v>
      </c>
      <c r="G703" s="79"/>
      <c r="H703" s="322"/>
      <c r="I703" s="79"/>
      <c r="J703" s="322">
        <v>21335</v>
      </c>
      <c r="K703" s="79"/>
      <c r="L703" s="322">
        <v>3239</v>
      </c>
      <c r="M703" s="79"/>
      <c r="N703" s="322">
        <v>23440</v>
      </c>
      <c r="O703" s="323">
        <f t="shared" si="196"/>
        <v>0</v>
      </c>
      <c r="P703" s="638">
        <f t="shared" si="206"/>
        <v>0</v>
      </c>
      <c r="Q703" s="349">
        <v>0</v>
      </c>
      <c r="R703" s="90">
        <f t="shared" si="227"/>
        <v>0</v>
      </c>
      <c r="S703" s="324">
        <f t="shared" si="197"/>
        <v>48014</v>
      </c>
      <c r="T703" s="638">
        <f t="shared" si="207"/>
        <v>48014</v>
      </c>
      <c r="U703" s="322"/>
      <c r="V703" s="80">
        <f t="shared" si="228"/>
        <v>1600.4666666666667</v>
      </c>
      <c r="W703" s="79"/>
      <c r="X703" s="322"/>
      <c r="Y703" s="79"/>
      <c r="Z703" s="322"/>
      <c r="AA703" s="79"/>
      <c r="AB703" s="322"/>
      <c r="AC703" s="79"/>
      <c r="AD703" s="322"/>
      <c r="AE703" s="323">
        <f t="shared" si="198"/>
        <v>0</v>
      </c>
      <c r="AF703" s="638">
        <f t="shared" si="208"/>
        <v>0</v>
      </c>
      <c r="AG703" s="322"/>
      <c r="AH703" s="90">
        <f t="shared" si="199"/>
        <v>0</v>
      </c>
      <c r="AI703" s="80">
        <f t="shared" si="200"/>
        <v>0</v>
      </c>
      <c r="AJ703" s="638">
        <f t="shared" si="209"/>
        <v>0</v>
      </c>
      <c r="AK703" s="322"/>
      <c r="AL703" s="80">
        <f t="shared" si="201"/>
        <v>0</v>
      </c>
      <c r="AM703" s="79"/>
      <c r="AN703" s="322"/>
      <c r="AO703" s="79"/>
      <c r="AP703" s="322"/>
      <c r="AQ703" s="79"/>
      <c r="AR703" s="322"/>
      <c r="AS703" s="79"/>
      <c r="AT703" s="322"/>
      <c r="AU703" s="325">
        <f t="shared" si="202"/>
        <v>0</v>
      </c>
      <c r="AV703" s="90">
        <f t="shared" si="230"/>
        <v>0</v>
      </c>
      <c r="AW703" s="324">
        <f t="shared" si="203"/>
        <v>0</v>
      </c>
      <c r="AX703" s="80">
        <f t="shared" si="231"/>
        <v>0</v>
      </c>
      <c r="AY703" s="326">
        <f t="shared" si="204"/>
        <v>0</v>
      </c>
      <c r="AZ703" s="80">
        <f t="shared" si="205"/>
        <v>1600.4666666666667</v>
      </c>
    </row>
    <row r="704" spans="1:52">
      <c r="A704" s="185" t="s">
        <v>792</v>
      </c>
      <c r="B704" s="334" t="s">
        <v>828</v>
      </c>
      <c r="C704" s="235">
        <v>233338</v>
      </c>
      <c r="D704" s="186" t="s">
        <v>832</v>
      </c>
      <c r="E704" s="162" t="s">
        <v>442</v>
      </c>
      <c r="F704" s="163" t="s">
        <v>442</v>
      </c>
      <c r="G704" s="79"/>
      <c r="H704" s="322"/>
      <c r="I704" s="79">
        <f t="shared" ref="I704:N704" si="232">+I700</f>
        <v>11673</v>
      </c>
      <c r="J704" s="322">
        <f t="shared" si="232"/>
        <v>11280</v>
      </c>
      <c r="K704" s="79">
        <f t="shared" si="232"/>
        <v>2416</v>
      </c>
      <c r="L704" s="322">
        <f t="shared" si="232"/>
        <v>2538</v>
      </c>
      <c r="M704" s="79">
        <f t="shared" si="232"/>
        <v>13764</v>
      </c>
      <c r="N704" s="322">
        <f t="shared" si="232"/>
        <v>16855</v>
      </c>
      <c r="O704" s="323">
        <f t="shared" si="196"/>
        <v>27853</v>
      </c>
      <c r="P704" s="638">
        <f t="shared" si="206"/>
        <v>27853</v>
      </c>
      <c r="Q704" s="349">
        <f>+Q700</f>
        <v>1973</v>
      </c>
      <c r="R704" s="90">
        <f t="shared" si="227"/>
        <v>928.43333333333328</v>
      </c>
      <c r="S704" s="324">
        <f t="shared" si="197"/>
        <v>30673</v>
      </c>
      <c r="T704" s="638">
        <f t="shared" si="207"/>
        <v>30673</v>
      </c>
      <c r="U704" s="322">
        <f>+U700</f>
        <v>2418</v>
      </c>
      <c r="V704" s="80">
        <f t="shared" si="228"/>
        <v>1022.4333333333333</v>
      </c>
      <c r="W704" s="79"/>
      <c r="X704" s="322"/>
      <c r="Y704" s="79"/>
      <c r="Z704" s="322"/>
      <c r="AA704" s="79"/>
      <c r="AB704" s="322"/>
      <c r="AC704" s="79"/>
      <c r="AD704" s="322"/>
      <c r="AE704" s="323">
        <f t="shared" si="198"/>
        <v>0</v>
      </c>
      <c r="AF704" s="638">
        <f t="shared" si="208"/>
        <v>0</v>
      </c>
      <c r="AG704" s="322"/>
      <c r="AH704" s="90">
        <f t="shared" si="199"/>
        <v>0</v>
      </c>
      <c r="AI704" s="80">
        <f t="shared" si="200"/>
        <v>0</v>
      </c>
      <c r="AJ704" s="638">
        <f t="shared" si="209"/>
        <v>0</v>
      </c>
      <c r="AK704" s="322"/>
      <c r="AL704" s="80">
        <f t="shared" si="201"/>
        <v>0</v>
      </c>
      <c r="AM704" s="79"/>
      <c r="AN704" s="322"/>
      <c r="AO704" s="79"/>
      <c r="AP704" s="322">
        <v>0</v>
      </c>
      <c r="AQ704" s="79"/>
      <c r="AR704" s="322">
        <v>0</v>
      </c>
      <c r="AS704" s="79"/>
      <c r="AT704" s="322">
        <v>0</v>
      </c>
      <c r="AU704" s="325">
        <f t="shared" si="202"/>
        <v>0</v>
      </c>
      <c r="AV704" s="90">
        <f t="shared" si="230"/>
        <v>0</v>
      </c>
      <c r="AW704" s="324">
        <f t="shared" si="203"/>
        <v>0</v>
      </c>
      <c r="AX704" s="80">
        <f t="shared" si="231"/>
        <v>0</v>
      </c>
      <c r="AY704" s="326">
        <f t="shared" si="204"/>
        <v>928.43333333333328</v>
      </c>
      <c r="AZ704" s="80">
        <f t="shared" si="205"/>
        <v>1022.4333333333333</v>
      </c>
    </row>
    <row r="705" spans="1:52">
      <c r="A705" s="185" t="s">
        <v>792</v>
      </c>
      <c r="B705" s="334" t="s">
        <v>831</v>
      </c>
      <c r="C705" s="235"/>
      <c r="D705" s="186" t="s">
        <v>669</v>
      </c>
      <c r="E705" s="162" t="s">
        <v>442</v>
      </c>
      <c r="F705" s="163" t="s">
        <v>442</v>
      </c>
      <c r="G705" s="79"/>
      <c r="H705" s="322"/>
      <c r="I705" s="79">
        <f t="shared" ref="I705:N705" si="233">SUM(I680:I702)-I700</f>
        <v>1138714.2</v>
      </c>
      <c r="J705" s="322">
        <f t="shared" si="233"/>
        <v>1192175</v>
      </c>
      <c r="K705" s="79">
        <f t="shared" si="233"/>
        <v>368634</v>
      </c>
      <c r="L705" s="322">
        <f t="shared" si="233"/>
        <v>383948</v>
      </c>
      <c r="M705" s="79">
        <f t="shared" si="233"/>
        <v>1273635</v>
      </c>
      <c r="N705" s="322">
        <f t="shared" si="233"/>
        <v>1340448</v>
      </c>
      <c r="O705" s="323">
        <f t="shared" si="196"/>
        <v>2780983.2</v>
      </c>
      <c r="P705" s="638">
        <f t="shared" si="206"/>
        <v>2780983.2</v>
      </c>
      <c r="Q705" s="349">
        <f>SUM(Q680:Q702)-Q700</f>
        <v>231874</v>
      </c>
      <c r="R705" s="90">
        <f t="shared" si="227"/>
        <v>92699.44</v>
      </c>
      <c r="S705" s="324">
        <f t="shared" si="197"/>
        <v>2916571</v>
      </c>
      <c r="T705" s="638">
        <f t="shared" si="207"/>
        <v>2916571</v>
      </c>
      <c r="U705" s="322">
        <f>SUM(U680:U702)-U700</f>
        <v>253475</v>
      </c>
      <c r="V705" s="80">
        <f t="shared" si="228"/>
        <v>97219.03333333334</v>
      </c>
      <c r="W705" s="79"/>
      <c r="X705" s="322"/>
      <c r="Y705" s="79"/>
      <c r="Z705" s="322"/>
      <c r="AA705" s="79"/>
      <c r="AB705" s="322"/>
      <c r="AC705" s="79"/>
      <c r="AD705" s="322"/>
      <c r="AE705" s="323">
        <f t="shared" si="198"/>
        <v>0</v>
      </c>
      <c r="AF705" s="638">
        <f t="shared" si="208"/>
        <v>0</v>
      </c>
      <c r="AG705" s="322"/>
      <c r="AH705" s="90">
        <f t="shared" si="199"/>
        <v>0</v>
      </c>
      <c r="AI705" s="80">
        <f t="shared" si="200"/>
        <v>0</v>
      </c>
      <c r="AJ705" s="638">
        <f t="shared" si="209"/>
        <v>0</v>
      </c>
      <c r="AK705" s="322"/>
      <c r="AL705" s="80">
        <f t="shared" si="201"/>
        <v>0</v>
      </c>
      <c r="AM705" s="79"/>
      <c r="AN705" s="322"/>
      <c r="AO705" s="79"/>
      <c r="AP705" s="322"/>
      <c r="AQ705" s="79"/>
      <c r="AR705" s="322"/>
      <c r="AS705" s="79"/>
      <c r="AT705" s="322"/>
      <c r="AU705" s="325">
        <f t="shared" si="202"/>
        <v>0</v>
      </c>
      <c r="AV705" s="90">
        <f t="shared" si="230"/>
        <v>0</v>
      </c>
      <c r="AW705" s="324">
        <f t="shared" si="203"/>
        <v>0</v>
      </c>
      <c r="AX705" s="80">
        <f t="shared" si="231"/>
        <v>0</v>
      </c>
      <c r="AY705" s="326">
        <f t="shared" si="204"/>
        <v>92699.44</v>
      </c>
      <c r="AZ705" s="80">
        <f t="shared" si="205"/>
        <v>97219.03333333334</v>
      </c>
    </row>
    <row r="706" spans="1:52">
      <c r="A706" s="99" t="s">
        <v>771</v>
      </c>
      <c r="B706" s="99" t="s">
        <v>772</v>
      </c>
      <c r="C706" s="183">
        <v>238032</v>
      </c>
      <c r="D706" s="109">
        <v>1</v>
      </c>
      <c r="E706" s="162" t="s">
        <v>442</v>
      </c>
      <c r="F706" s="163" t="s">
        <v>442</v>
      </c>
      <c r="G706" s="79"/>
      <c r="H706" s="322"/>
      <c r="I706" s="79">
        <v>274719</v>
      </c>
      <c r="J706" s="350">
        <v>278416</v>
      </c>
      <c r="K706" s="79">
        <v>35165</v>
      </c>
      <c r="L706" s="322">
        <v>37075</v>
      </c>
      <c r="M706" s="79">
        <v>304740</v>
      </c>
      <c r="N706" s="322">
        <v>313368</v>
      </c>
      <c r="O706" s="323">
        <f t="shared" si="196"/>
        <v>614624</v>
      </c>
      <c r="P706" s="638">
        <f t="shared" si="206"/>
        <v>614624</v>
      </c>
      <c r="Q706" s="349">
        <v>2612</v>
      </c>
      <c r="R706" s="90">
        <f t="shared" si="227"/>
        <v>20487.466666666667</v>
      </c>
      <c r="S706" s="324">
        <f t="shared" si="197"/>
        <v>628859</v>
      </c>
      <c r="T706" s="638">
        <f t="shared" si="207"/>
        <v>628859</v>
      </c>
      <c r="U706" s="322">
        <v>2593</v>
      </c>
      <c r="V706" s="80">
        <f t="shared" si="228"/>
        <v>20961.966666666667</v>
      </c>
      <c r="W706" s="79"/>
      <c r="X706" s="322"/>
      <c r="Y706" s="79"/>
      <c r="Z706" s="322"/>
      <c r="AA706" s="79"/>
      <c r="AB706" s="322"/>
      <c r="AC706" s="79"/>
      <c r="AD706" s="322"/>
      <c r="AE706" s="323">
        <f t="shared" si="198"/>
        <v>0</v>
      </c>
      <c r="AF706" s="638">
        <f t="shared" si="208"/>
        <v>0</v>
      </c>
      <c r="AG706" s="322"/>
      <c r="AH706" s="90">
        <f t="shared" si="199"/>
        <v>0</v>
      </c>
      <c r="AI706" s="80">
        <f t="shared" si="200"/>
        <v>0</v>
      </c>
      <c r="AJ706" s="638">
        <f t="shared" si="209"/>
        <v>0</v>
      </c>
      <c r="AK706" s="322"/>
      <c r="AL706" s="80">
        <f t="shared" si="201"/>
        <v>0</v>
      </c>
      <c r="AM706" s="79"/>
      <c r="AN706" s="322"/>
      <c r="AO706" s="79">
        <v>48037</v>
      </c>
      <c r="AP706" s="322">
        <v>48495</v>
      </c>
      <c r="AQ706" s="79">
        <v>21986</v>
      </c>
      <c r="AR706" s="322">
        <v>21320</v>
      </c>
      <c r="AS706" s="79">
        <v>48913</v>
      </c>
      <c r="AT706" s="322">
        <v>48666</v>
      </c>
      <c r="AU706" s="325">
        <f t="shared" si="202"/>
        <v>118936</v>
      </c>
      <c r="AV706" s="90">
        <f t="shared" si="230"/>
        <v>4955.666666666667</v>
      </c>
      <c r="AW706" s="324">
        <f t="shared" si="203"/>
        <v>118481</v>
      </c>
      <c r="AX706" s="80">
        <f t="shared" si="231"/>
        <v>4936.708333333333</v>
      </c>
      <c r="AY706" s="326">
        <f t="shared" si="204"/>
        <v>25443.133333333335</v>
      </c>
      <c r="AZ706" s="80">
        <f t="shared" si="205"/>
        <v>25898.674999999999</v>
      </c>
    </row>
    <row r="707" spans="1:52">
      <c r="A707" s="99" t="s">
        <v>771</v>
      </c>
      <c r="B707" s="99" t="s">
        <v>773</v>
      </c>
      <c r="C707" s="183">
        <v>237525</v>
      </c>
      <c r="D707" s="109">
        <v>3</v>
      </c>
      <c r="E707" s="162" t="s">
        <v>442</v>
      </c>
      <c r="F707" s="163" t="s">
        <v>442</v>
      </c>
      <c r="G707" s="79"/>
      <c r="H707" s="322"/>
      <c r="I707" s="79">
        <v>112819</v>
      </c>
      <c r="J707" s="322">
        <v>111321</v>
      </c>
      <c r="K707" s="79">
        <v>17638</v>
      </c>
      <c r="L707" s="322">
        <v>17215</v>
      </c>
      <c r="M707" s="79">
        <v>121856</v>
      </c>
      <c r="N707" s="322">
        <v>119271</v>
      </c>
      <c r="O707" s="323">
        <f t="shared" si="196"/>
        <v>252313</v>
      </c>
      <c r="P707" s="638">
        <f t="shared" si="206"/>
        <v>252313</v>
      </c>
      <c r="Q707" s="349">
        <v>4357</v>
      </c>
      <c r="R707" s="90">
        <f t="shared" si="227"/>
        <v>8410.4333333333325</v>
      </c>
      <c r="S707" s="324">
        <f t="shared" si="197"/>
        <v>247807</v>
      </c>
      <c r="T707" s="638">
        <f t="shared" si="207"/>
        <v>247807</v>
      </c>
      <c r="U707" s="322">
        <v>3836</v>
      </c>
      <c r="V707" s="80">
        <f t="shared" si="228"/>
        <v>8260.2333333333336</v>
      </c>
      <c r="W707" s="79"/>
      <c r="X707" s="322"/>
      <c r="Y707" s="79"/>
      <c r="Z707" s="322"/>
      <c r="AA707" s="79"/>
      <c r="AB707" s="322"/>
      <c r="AC707" s="79"/>
      <c r="AD707" s="322"/>
      <c r="AE707" s="323">
        <f t="shared" si="198"/>
        <v>0</v>
      </c>
      <c r="AF707" s="638">
        <f t="shared" si="208"/>
        <v>0</v>
      </c>
      <c r="AG707" s="322"/>
      <c r="AH707" s="90">
        <f t="shared" si="199"/>
        <v>0</v>
      </c>
      <c r="AI707" s="80">
        <f t="shared" si="200"/>
        <v>0</v>
      </c>
      <c r="AJ707" s="638">
        <f t="shared" si="209"/>
        <v>0</v>
      </c>
      <c r="AK707" s="322"/>
      <c r="AL707" s="80">
        <f t="shared" si="201"/>
        <v>0</v>
      </c>
      <c r="AM707" s="79"/>
      <c r="AN707" s="322"/>
      <c r="AO707" s="79">
        <v>24280</v>
      </c>
      <c r="AP707" s="322">
        <v>23746</v>
      </c>
      <c r="AQ707" s="79">
        <v>14384</v>
      </c>
      <c r="AR707" s="322">
        <v>13848</v>
      </c>
      <c r="AS707" s="79">
        <v>23620</v>
      </c>
      <c r="AT707" s="322">
        <v>24089</v>
      </c>
      <c r="AU707" s="325">
        <f t="shared" si="202"/>
        <v>62284</v>
      </c>
      <c r="AV707" s="90">
        <f t="shared" si="230"/>
        <v>2595.1666666666665</v>
      </c>
      <c r="AW707" s="324">
        <f t="shared" si="203"/>
        <v>61683</v>
      </c>
      <c r="AX707" s="80">
        <f t="shared" si="231"/>
        <v>2570.125</v>
      </c>
      <c r="AY707" s="326">
        <f t="shared" si="204"/>
        <v>11005.599999999999</v>
      </c>
      <c r="AZ707" s="80">
        <f t="shared" si="205"/>
        <v>10830.358333333334</v>
      </c>
    </row>
    <row r="708" spans="1:52">
      <c r="A708" s="99" t="s">
        <v>771</v>
      </c>
      <c r="B708" s="99" t="s">
        <v>774</v>
      </c>
      <c r="C708" s="183">
        <v>237215</v>
      </c>
      <c r="D708" s="109">
        <v>6</v>
      </c>
      <c r="E708" s="162" t="s">
        <v>442</v>
      </c>
      <c r="F708" s="163" t="s">
        <v>442</v>
      </c>
      <c r="G708" s="79"/>
      <c r="H708" s="322"/>
      <c r="I708" s="79">
        <v>22145</v>
      </c>
      <c r="J708" s="322">
        <v>22844</v>
      </c>
      <c r="K708" s="79">
        <v>2591</v>
      </c>
      <c r="L708" s="322">
        <v>2987</v>
      </c>
      <c r="M708" s="79">
        <v>23922</v>
      </c>
      <c r="N708" s="322">
        <v>24932</v>
      </c>
      <c r="O708" s="323">
        <f t="shared" ref="O708:O726" si="234">SUM(G708,I708,K708,M708)</f>
        <v>48658</v>
      </c>
      <c r="P708" s="638">
        <f t="shared" si="206"/>
        <v>48658</v>
      </c>
      <c r="Q708" s="349">
        <v>604</v>
      </c>
      <c r="R708" s="90">
        <f t="shared" si="227"/>
        <v>1621.9333333333334</v>
      </c>
      <c r="S708" s="324">
        <f t="shared" ref="S708:S726" si="235">SUM(H708,J708,L708,N708)</f>
        <v>50763</v>
      </c>
      <c r="T708" s="638">
        <f t="shared" si="207"/>
        <v>50763</v>
      </c>
      <c r="U708" s="322">
        <v>464</v>
      </c>
      <c r="V708" s="80">
        <f t="shared" si="228"/>
        <v>1692.1</v>
      </c>
      <c r="W708" s="79"/>
      <c r="X708" s="322"/>
      <c r="Y708" s="79"/>
      <c r="Z708" s="322"/>
      <c r="AA708" s="79"/>
      <c r="AB708" s="322"/>
      <c r="AC708" s="79"/>
      <c r="AD708" s="322"/>
      <c r="AE708" s="323">
        <f t="shared" ref="AE708:AE726" si="236">SUM(W708,Y708,AA708,AC708)</f>
        <v>0</v>
      </c>
      <c r="AF708" s="638">
        <f t="shared" si="208"/>
        <v>0</v>
      </c>
      <c r="AG708" s="322"/>
      <c r="AH708" s="90">
        <f t="shared" ref="AH708:AH726" si="237">+AE708/900</f>
        <v>0</v>
      </c>
      <c r="AI708" s="80">
        <f t="shared" ref="AI708:AI726" si="238">SUM(X708,Z708,AB708,AD708)</f>
        <v>0</v>
      </c>
      <c r="AJ708" s="638">
        <f t="shared" si="209"/>
        <v>0</v>
      </c>
      <c r="AK708" s="322"/>
      <c r="AL708" s="80">
        <f t="shared" ref="AL708:AL726" si="239">+AI708/900</f>
        <v>0</v>
      </c>
      <c r="AM708" s="79"/>
      <c r="AN708" s="322"/>
      <c r="AO708" s="79"/>
      <c r="AP708" s="322"/>
      <c r="AQ708" s="79"/>
      <c r="AR708" s="322"/>
      <c r="AS708" s="79"/>
      <c r="AT708" s="322"/>
      <c r="AU708" s="325">
        <f t="shared" ref="AU708:AU726" si="240">SUM(AM708,AO708,AQ708,AS708)</f>
        <v>0</v>
      </c>
      <c r="AV708" s="90">
        <f t="shared" si="230"/>
        <v>0</v>
      </c>
      <c r="AW708" s="324">
        <f t="shared" ref="AW708:AW726" si="241">SUM(AN708,AP708,AR708,AT708)</f>
        <v>0</v>
      </c>
      <c r="AX708" s="80">
        <f t="shared" si="231"/>
        <v>0</v>
      </c>
      <c r="AY708" s="326">
        <f t="shared" ref="AY708:AY726" si="242">SUM(R708,AH708,AV708)</f>
        <v>1621.9333333333334</v>
      </c>
      <c r="AZ708" s="80">
        <f t="shared" ref="AZ708:AZ726" si="243">SUM(V708,AL708,AX708)</f>
        <v>1692.1</v>
      </c>
    </row>
    <row r="709" spans="1:52">
      <c r="A709" s="99" t="s">
        <v>771</v>
      </c>
      <c r="B709" s="99" t="s">
        <v>775</v>
      </c>
      <c r="C709" s="183">
        <v>237330</v>
      </c>
      <c r="D709" s="109">
        <v>6</v>
      </c>
      <c r="E709" s="162" t="s">
        <v>442</v>
      </c>
      <c r="F709" s="163" t="s">
        <v>442</v>
      </c>
      <c r="G709" s="79"/>
      <c r="H709" s="322"/>
      <c r="I709" s="79">
        <v>35221</v>
      </c>
      <c r="J709" s="322">
        <v>35189</v>
      </c>
      <c r="K709" s="79">
        <v>3549</v>
      </c>
      <c r="L709" s="322">
        <v>3493</v>
      </c>
      <c r="M709" s="79">
        <v>37691</v>
      </c>
      <c r="N709" s="322">
        <v>40012</v>
      </c>
      <c r="O709" s="323">
        <f t="shared" si="234"/>
        <v>76461</v>
      </c>
      <c r="P709" s="638">
        <f t="shared" ref="P709:P726" si="244">IF(Q709="—",0,O709)</f>
        <v>76461</v>
      </c>
      <c r="Q709" s="349">
        <v>1832</v>
      </c>
      <c r="R709" s="90">
        <f t="shared" si="227"/>
        <v>2548.6999999999998</v>
      </c>
      <c r="S709" s="324">
        <f t="shared" si="235"/>
        <v>78694</v>
      </c>
      <c r="T709" s="638">
        <f t="shared" ref="T709:T726" si="245">IF(U709="—",0,S709)</f>
        <v>78694</v>
      </c>
      <c r="U709" s="322">
        <v>1246</v>
      </c>
      <c r="V709" s="80">
        <f t="shared" si="228"/>
        <v>2623.1333333333332</v>
      </c>
      <c r="W709" s="79"/>
      <c r="X709" s="322"/>
      <c r="Y709" s="79"/>
      <c r="Z709" s="322"/>
      <c r="AA709" s="79"/>
      <c r="AB709" s="322"/>
      <c r="AC709" s="79"/>
      <c r="AD709" s="322"/>
      <c r="AE709" s="323">
        <f t="shared" si="236"/>
        <v>0</v>
      </c>
      <c r="AF709" s="638">
        <f t="shared" ref="AF709:AF726" si="246">IF(AG709="—",0,AE709)</f>
        <v>0</v>
      </c>
      <c r="AG709" s="322"/>
      <c r="AH709" s="90">
        <f t="shared" si="237"/>
        <v>0</v>
      </c>
      <c r="AI709" s="80">
        <f t="shared" si="238"/>
        <v>0</v>
      </c>
      <c r="AJ709" s="638">
        <f t="shared" ref="AJ709:AJ726" si="247">IF(AK709="—",0,AI709)</f>
        <v>0</v>
      </c>
      <c r="AK709" s="322"/>
      <c r="AL709" s="80">
        <f t="shared" si="239"/>
        <v>0</v>
      </c>
      <c r="AM709" s="79"/>
      <c r="AN709" s="322"/>
      <c r="AO709" s="79">
        <v>738</v>
      </c>
      <c r="AP709" s="322">
        <v>474</v>
      </c>
      <c r="AQ709" s="79">
        <v>447</v>
      </c>
      <c r="AR709" s="322">
        <v>300</v>
      </c>
      <c r="AS709" s="79">
        <v>543</v>
      </c>
      <c r="AT709" s="322">
        <v>518</v>
      </c>
      <c r="AU709" s="325">
        <f t="shared" si="240"/>
        <v>1728</v>
      </c>
      <c r="AV709" s="90">
        <f t="shared" si="230"/>
        <v>72</v>
      </c>
      <c r="AW709" s="324">
        <f t="shared" si="241"/>
        <v>1292</v>
      </c>
      <c r="AX709" s="80">
        <f t="shared" si="231"/>
        <v>53.833333333333336</v>
      </c>
      <c r="AY709" s="326">
        <f t="shared" si="242"/>
        <v>2620.6999999999998</v>
      </c>
      <c r="AZ709" s="80">
        <f t="shared" si="243"/>
        <v>2676.9666666666667</v>
      </c>
    </row>
    <row r="710" spans="1:52">
      <c r="A710" s="99" t="s">
        <v>771</v>
      </c>
      <c r="B710" s="391" t="s">
        <v>776</v>
      </c>
      <c r="C710" s="183">
        <v>237367</v>
      </c>
      <c r="D710" s="109">
        <v>6</v>
      </c>
      <c r="E710" s="162" t="s">
        <v>442</v>
      </c>
      <c r="F710" s="163" t="s">
        <v>442</v>
      </c>
      <c r="G710" s="79"/>
      <c r="H710" s="322"/>
      <c r="I710" s="79">
        <v>48618</v>
      </c>
      <c r="J710" s="322">
        <v>51333</v>
      </c>
      <c r="K710" s="79">
        <v>5452</v>
      </c>
      <c r="L710" s="322">
        <v>5816</v>
      </c>
      <c r="M710" s="79">
        <v>55390</v>
      </c>
      <c r="N710" s="322">
        <v>56121</v>
      </c>
      <c r="O710" s="323">
        <f t="shared" si="234"/>
        <v>109460</v>
      </c>
      <c r="P710" s="638">
        <f t="shared" si="244"/>
        <v>109460</v>
      </c>
      <c r="Q710" s="349">
        <v>0</v>
      </c>
      <c r="R710" s="90">
        <f t="shared" si="227"/>
        <v>3648.6666666666665</v>
      </c>
      <c r="S710" s="324">
        <f t="shared" si="235"/>
        <v>113270</v>
      </c>
      <c r="T710" s="638">
        <f t="shared" si="245"/>
        <v>113270</v>
      </c>
      <c r="U710" s="322">
        <v>0</v>
      </c>
      <c r="V710" s="80">
        <f t="shared" si="228"/>
        <v>3775.6666666666665</v>
      </c>
      <c r="W710" s="79"/>
      <c r="X710" s="322"/>
      <c r="Y710" s="79"/>
      <c r="Z710" s="322"/>
      <c r="AA710" s="79"/>
      <c r="AB710" s="322"/>
      <c r="AC710" s="79"/>
      <c r="AD710" s="322"/>
      <c r="AE710" s="323">
        <f t="shared" si="236"/>
        <v>0</v>
      </c>
      <c r="AF710" s="638">
        <f t="shared" si="246"/>
        <v>0</v>
      </c>
      <c r="AG710" s="322"/>
      <c r="AH710" s="90">
        <f t="shared" si="237"/>
        <v>0</v>
      </c>
      <c r="AI710" s="80">
        <f t="shared" si="238"/>
        <v>0</v>
      </c>
      <c r="AJ710" s="638">
        <f t="shared" si="247"/>
        <v>0</v>
      </c>
      <c r="AK710" s="322"/>
      <c r="AL710" s="80">
        <f t="shared" si="239"/>
        <v>0</v>
      </c>
      <c r="AM710" s="79"/>
      <c r="AN710" s="322"/>
      <c r="AO710" s="79">
        <v>1952</v>
      </c>
      <c r="AP710" s="322">
        <v>2481</v>
      </c>
      <c r="AQ710" s="79">
        <v>1003</v>
      </c>
      <c r="AR710" s="322">
        <v>1261</v>
      </c>
      <c r="AS710" s="79">
        <v>2423</v>
      </c>
      <c r="AT710" s="322">
        <v>2760</v>
      </c>
      <c r="AU710" s="325">
        <f t="shared" si="240"/>
        <v>5378</v>
      </c>
      <c r="AV710" s="90">
        <f t="shared" si="230"/>
        <v>224.08333333333334</v>
      </c>
      <c r="AW710" s="324">
        <f t="shared" si="241"/>
        <v>6502</v>
      </c>
      <c r="AX710" s="80">
        <f t="shared" si="231"/>
        <v>270.91666666666669</v>
      </c>
      <c r="AY710" s="326">
        <f t="shared" si="242"/>
        <v>3872.75</v>
      </c>
      <c r="AZ710" s="80">
        <f t="shared" si="243"/>
        <v>4046.583333333333</v>
      </c>
    </row>
    <row r="711" spans="1:52">
      <c r="A711" s="99" t="s">
        <v>771</v>
      </c>
      <c r="B711" s="99" t="s">
        <v>777</v>
      </c>
      <c r="C711" s="183">
        <v>237385</v>
      </c>
      <c r="D711" s="109">
        <v>6</v>
      </c>
      <c r="E711" s="162" t="s">
        <v>442</v>
      </c>
      <c r="F711" s="163" t="s">
        <v>442</v>
      </c>
      <c r="G711" s="79"/>
      <c r="H711" s="322"/>
      <c r="I711" s="79">
        <v>16499</v>
      </c>
      <c r="J711" s="322">
        <v>16592</v>
      </c>
      <c r="K711" s="79">
        <v>1321</v>
      </c>
      <c r="L711" s="322">
        <v>1763</v>
      </c>
      <c r="M711" s="79">
        <v>18138.099999999999</v>
      </c>
      <c r="N711" s="322">
        <v>18979.099999999999</v>
      </c>
      <c r="O711" s="323">
        <f t="shared" si="234"/>
        <v>35958.1</v>
      </c>
      <c r="P711" s="638">
        <f t="shared" si="244"/>
        <v>35958.1</v>
      </c>
      <c r="Q711" s="349">
        <v>1206</v>
      </c>
      <c r="R711" s="90">
        <f t="shared" si="227"/>
        <v>1198.6033333333332</v>
      </c>
      <c r="S711" s="324">
        <f t="shared" si="235"/>
        <v>37334.1</v>
      </c>
      <c r="T711" s="638">
        <f t="shared" si="245"/>
        <v>37334.1</v>
      </c>
      <c r="U711" s="322">
        <v>900</v>
      </c>
      <c r="V711" s="80">
        <f t="shared" si="228"/>
        <v>1244.47</v>
      </c>
      <c r="W711" s="79"/>
      <c r="X711" s="322"/>
      <c r="Y711" s="79"/>
      <c r="Z711" s="322"/>
      <c r="AA711" s="79"/>
      <c r="AB711" s="322"/>
      <c r="AC711" s="79"/>
      <c r="AD711" s="322"/>
      <c r="AE711" s="323">
        <f t="shared" si="236"/>
        <v>0</v>
      </c>
      <c r="AF711" s="638">
        <f t="shared" si="246"/>
        <v>0</v>
      </c>
      <c r="AG711" s="322"/>
      <c r="AH711" s="90">
        <f t="shared" si="237"/>
        <v>0</v>
      </c>
      <c r="AI711" s="80">
        <f t="shared" si="238"/>
        <v>0</v>
      </c>
      <c r="AJ711" s="638">
        <f t="shared" si="247"/>
        <v>0</v>
      </c>
      <c r="AK711" s="322"/>
      <c r="AL711" s="80">
        <f t="shared" si="239"/>
        <v>0</v>
      </c>
      <c r="AM711" s="79"/>
      <c r="AN711" s="322"/>
      <c r="AO711" s="79"/>
      <c r="AP711" s="322"/>
      <c r="AQ711" s="79"/>
      <c r="AR711" s="322"/>
      <c r="AS711" s="79"/>
      <c r="AT711" s="322"/>
      <c r="AU711" s="325">
        <f t="shared" si="240"/>
        <v>0</v>
      </c>
      <c r="AV711" s="90">
        <f t="shared" si="230"/>
        <v>0</v>
      </c>
      <c r="AW711" s="324">
        <f t="shared" si="241"/>
        <v>0</v>
      </c>
      <c r="AX711" s="80">
        <f t="shared" si="231"/>
        <v>0</v>
      </c>
      <c r="AY711" s="326">
        <f t="shared" si="242"/>
        <v>1198.6033333333332</v>
      </c>
      <c r="AZ711" s="80">
        <f t="shared" si="243"/>
        <v>1244.47</v>
      </c>
    </row>
    <row r="712" spans="1:52">
      <c r="A712" s="99" t="s">
        <v>771</v>
      </c>
      <c r="B712" s="391" t="s">
        <v>778</v>
      </c>
      <c r="C712" s="183">
        <v>237792</v>
      </c>
      <c r="D712" s="109">
        <v>6</v>
      </c>
      <c r="E712" s="162" t="s">
        <v>442</v>
      </c>
      <c r="F712" s="163" t="s">
        <v>442</v>
      </c>
      <c r="G712" s="79"/>
      <c r="H712" s="322"/>
      <c r="I712" s="79">
        <v>47248.5</v>
      </c>
      <c r="J712" s="322">
        <v>47511.5</v>
      </c>
      <c r="K712" s="79">
        <v>4573</v>
      </c>
      <c r="L712" s="322">
        <v>4534</v>
      </c>
      <c r="M712" s="79">
        <v>51937.5</v>
      </c>
      <c r="N712" s="322">
        <v>52917.5</v>
      </c>
      <c r="O712" s="323">
        <f t="shared" si="234"/>
        <v>103759</v>
      </c>
      <c r="P712" s="638">
        <f t="shared" si="244"/>
        <v>103759</v>
      </c>
      <c r="Q712" s="349">
        <v>53</v>
      </c>
      <c r="R712" s="90">
        <f t="shared" si="227"/>
        <v>3458.6333333333332</v>
      </c>
      <c r="S712" s="324">
        <f t="shared" si="235"/>
        <v>104963</v>
      </c>
      <c r="T712" s="638">
        <f t="shared" si="245"/>
        <v>104963</v>
      </c>
      <c r="U712" s="322">
        <v>98</v>
      </c>
      <c r="V712" s="80">
        <f t="shared" si="228"/>
        <v>3498.7666666666669</v>
      </c>
      <c r="W712" s="79"/>
      <c r="X712" s="322"/>
      <c r="Y712" s="79"/>
      <c r="Z712" s="322"/>
      <c r="AA712" s="79"/>
      <c r="AB712" s="322"/>
      <c r="AC712" s="79"/>
      <c r="AD712" s="322"/>
      <c r="AE712" s="323">
        <f t="shared" si="236"/>
        <v>0</v>
      </c>
      <c r="AF712" s="638">
        <f t="shared" si="246"/>
        <v>0</v>
      </c>
      <c r="AG712" s="322"/>
      <c r="AH712" s="90">
        <f t="shared" si="237"/>
        <v>0</v>
      </c>
      <c r="AI712" s="80">
        <f t="shared" si="238"/>
        <v>0</v>
      </c>
      <c r="AJ712" s="638">
        <f t="shared" si="247"/>
        <v>0</v>
      </c>
      <c r="AK712" s="322"/>
      <c r="AL712" s="80">
        <f t="shared" si="239"/>
        <v>0</v>
      </c>
      <c r="AM712" s="79"/>
      <c r="AN712" s="322"/>
      <c r="AO712" s="79">
        <v>695</v>
      </c>
      <c r="AP712" s="322">
        <v>858</v>
      </c>
      <c r="AQ712" s="79">
        <v>543</v>
      </c>
      <c r="AR712" s="322">
        <v>404</v>
      </c>
      <c r="AS712" s="79">
        <v>869.5</v>
      </c>
      <c r="AT712" s="322">
        <v>858</v>
      </c>
      <c r="AU712" s="325">
        <f t="shared" si="240"/>
        <v>2107.5</v>
      </c>
      <c r="AV712" s="90">
        <f t="shared" si="230"/>
        <v>87.8125</v>
      </c>
      <c r="AW712" s="324">
        <f t="shared" si="241"/>
        <v>2120</v>
      </c>
      <c r="AX712" s="80">
        <f t="shared" si="231"/>
        <v>88.333333333333329</v>
      </c>
      <c r="AY712" s="326">
        <f t="shared" si="242"/>
        <v>3546.4458333333332</v>
      </c>
      <c r="AZ712" s="80">
        <f t="shared" si="243"/>
        <v>3587.1000000000004</v>
      </c>
    </row>
    <row r="713" spans="1:52">
      <c r="A713" s="99" t="s">
        <v>771</v>
      </c>
      <c r="B713" s="405" t="s">
        <v>75</v>
      </c>
      <c r="C713" s="183">
        <v>237932</v>
      </c>
      <c r="D713" s="109">
        <v>6</v>
      </c>
      <c r="E713" s="162" t="s">
        <v>442</v>
      </c>
      <c r="F713" s="163" t="s">
        <v>442</v>
      </c>
      <c r="G713" s="79"/>
      <c r="H713" s="322"/>
      <c r="I713" s="79">
        <v>30200</v>
      </c>
      <c r="J713" s="322">
        <v>30946</v>
      </c>
      <c r="K713" s="79">
        <v>1394</v>
      </c>
      <c r="L713" s="322">
        <v>1511</v>
      </c>
      <c r="M713" s="79">
        <v>34571</v>
      </c>
      <c r="N713" s="322">
        <v>36122</v>
      </c>
      <c r="O713" s="323">
        <f t="shared" si="234"/>
        <v>66165</v>
      </c>
      <c r="P713" s="638">
        <f t="shared" si="244"/>
        <v>66165</v>
      </c>
      <c r="Q713" s="349">
        <v>881</v>
      </c>
      <c r="R713" s="90">
        <f t="shared" si="227"/>
        <v>2205.5</v>
      </c>
      <c r="S713" s="324">
        <f t="shared" si="235"/>
        <v>68579</v>
      </c>
      <c r="T713" s="638">
        <f t="shared" si="245"/>
        <v>68579</v>
      </c>
      <c r="U713" s="322">
        <v>1213</v>
      </c>
      <c r="V713" s="80">
        <f t="shared" si="228"/>
        <v>2285.9666666666667</v>
      </c>
      <c r="W713" s="79"/>
      <c r="X713" s="322"/>
      <c r="Y713" s="79"/>
      <c r="Z713" s="322"/>
      <c r="AA713" s="79"/>
      <c r="AB713" s="322"/>
      <c r="AC713" s="79"/>
      <c r="AD713" s="322"/>
      <c r="AE713" s="323">
        <f t="shared" si="236"/>
        <v>0</v>
      </c>
      <c r="AF713" s="638">
        <f t="shared" si="246"/>
        <v>0</v>
      </c>
      <c r="AG713" s="322"/>
      <c r="AH713" s="90">
        <f t="shared" si="237"/>
        <v>0</v>
      </c>
      <c r="AI713" s="80">
        <f t="shared" si="238"/>
        <v>0</v>
      </c>
      <c r="AJ713" s="638">
        <f t="shared" si="247"/>
        <v>0</v>
      </c>
      <c r="AK713" s="322"/>
      <c r="AL713" s="80">
        <f t="shared" si="239"/>
        <v>0</v>
      </c>
      <c r="AM713" s="79"/>
      <c r="AN713" s="322"/>
      <c r="AO713" s="79"/>
      <c r="AP713" s="322">
        <v>15</v>
      </c>
      <c r="AQ713" s="79"/>
      <c r="AR713" s="322"/>
      <c r="AS713" s="79"/>
      <c r="AT713" s="322">
        <v>48</v>
      </c>
      <c r="AU713" s="325">
        <f t="shared" si="240"/>
        <v>0</v>
      </c>
      <c r="AV713" s="90">
        <f t="shared" si="230"/>
        <v>0</v>
      </c>
      <c r="AW713" s="324">
        <f t="shared" si="241"/>
        <v>63</v>
      </c>
      <c r="AX713" s="80">
        <f t="shared" si="231"/>
        <v>2.625</v>
      </c>
      <c r="AY713" s="326">
        <f t="shared" si="242"/>
        <v>2205.5</v>
      </c>
      <c r="AZ713" s="80">
        <f t="shared" si="243"/>
        <v>2288.5916666666667</v>
      </c>
    </row>
    <row r="714" spans="1:52">
      <c r="A714" s="99" t="s">
        <v>771</v>
      </c>
      <c r="B714" s="99" t="s">
        <v>779</v>
      </c>
      <c r="C714" s="183">
        <v>237899</v>
      </c>
      <c r="D714" s="109">
        <v>6</v>
      </c>
      <c r="E714" s="162" t="s">
        <v>442</v>
      </c>
      <c r="F714" s="163" t="s">
        <v>442</v>
      </c>
      <c r="G714" s="79"/>
      <c r="H714" s="322"/>
      <c r="I714" s="79">
        <v>37490</v>
      </c>
      <c r="J714" s="322">
        <v>34776</v>
      </c>
      <c r="K714" s="79">
        <v>3088</v>
      </c>
      <c r="L714" s="322">
        <v>2617</v>
      </c>
      <c r="M714" s="79">
        <v>37618</v>
      </c>
      <c r="N714" s="322">
        <v>35261</v>
      </c>
      <c r="O714" s="323">
        <f t="shared" si="234"/>
        <v>78196</v>
      </c>
      <c r="P714" s="638">
        <f t="shared" si="244"/>
        <v>78196</v>
      </c>
      <c r="Q714" s="349">
        <v>3330</v>
      </c>
      <c r="R714" s="90">
        <f t="shared" si="227"/>
        <v>2606.5333333333333</v>
      </c>
      <c r="S714" s="324">
        <f t="shared" si="235"/>
        <v>72654</v>
      </c>
      <c r="T714" s="638">
        <f t="shared" si="245"/>
        <v>72654</v>
      </c>
      <c r="U714" s="322">
        <v>3358</v>
      </c>
      <c r="V714" s="80">
        <f t="shared" si="228"/>
        <v>2421.8000000000002</v>
      </c>
      <c r="W714" s="79"/>
      <c r="X714" s="322"/>
      <c r="Y714" s="79"/>
      <c r="Z714" s="322"/>
      <c r="AA714" s="79"/>
      <c r="AB714" s="322"/>
      <c r="AC714" s="79"/>
      <c r="AD714" s="322"/>
      <c r="AE714" s="323">
        <f t="shared" si="236"/>
        <v>0</v>
      </c>
      <c r="AF714" s="638">
        <f t="shared" si="246"/>
        <v>0</v>
      </c>
      <c r="AG714" s="322"/>
      <c r="AH714" s="90">
        <f t="shared" si="237"/>
        <v>0</v>
      </c>
      <c r="AI714" s="80">
        <f t="shared" si="238"/>
        <v>0</v>
      </c>
      <c r="AJ714" s="638">
        <f t="shared" si="247"/>
        <v>0</v>
      </c>
      <c r="AK714" s="322"/>
      <c r="AL714" s="80">
        <f t="shared" si="239"/>
        <v>0</v>
      </c>
      <c r="AM714" s="79"/>
      <c r="AN714" s="322"/>
      <c r="AO714" s="79">
        <v>264</v>
      </c>
      <c r="AP714" s="322">
        <v>311</v>
      </c>
      <c r="AQ714" s="79">
        <v>14</v>
      </c>
      <c r="AR714" s="322">
        <v>12</v>
      </c>
      <c r="AS714" s="79">
        <v>299</v>
      </c>
      <c r="AT714" s="322">
        <v>322</v>
      </c>
      <c r="AU714" s="325">
        <f t="shared" si="240"/>
        <v>577</v>
      </c>
      <c r="AV714" s="90">
        <f t="shared" si="230"/>
        <v>24.041666666666668</v>
      </c>
      <c r="AW714" s="324">
        <f t="shared" si="241"/>
        <v>645</v>
      </c>
      <c r="AX714" s="80">
        <f t="shared" si="231"/>
        <v>26.875</v>
      </c>
      <c r="AY714" s="326">
        <f t="shared" si="242"/>
        <v>2630.5749999999998</v>
      </c>
      <c r="AZ714" s="80">
        <f t="shared" si="243"/>
        <v>2448.6750000000002</v>
      </c>
    </row>
    <row r="715" spans="1:52">
      <c r="A715" s="99" t="s">
        <v>771</v>
      </c>
      <c r="B715" s="99" t="s">
        <v>780</v>
      </c>
      <c r="C715" s="183">
        <v>237950</v>
      </c>
      <c r="D715" s="184">
        <v>6</v>
      </c>
      <c r="E715" s="162" t="s">
        <v>442</v>
      </c>
      <c r="F715" s="163" t="s">
        <v>442</v>
      </c>
      <c r="G715" s="79"/>
      <c r="H715" s="322"/>
      <c r="I715" s="79">
        <v>15911</v>
      </c>
      <c r="J715" s="322">
        <v>16454</v>
      </c>
      <c r="K715" s="79">
        <v>1378</v>
      </c>
      <c r="L715" s="322">
        <v>990</v>
      </c>
      <c r="M715" s="79">
        <v>18187</v>
      </c>
      <c r="N715" s="322">
        <v>15655</v>
      </c>
      <c r="O715" s="323">
        <f t="shared" si="234"/>
        <v>35476</v>
      </c>
      <c r="P715" s="638">
        <f t="shared" si="244"/>
        <v>35476</v>
      </c>
      <c r="Q715" s="349">
        <v>1146</v>
      </c>
      <c r="R715" s="90">
        <f t="shared" si="227"/>
        <v>1182.5333333333333</v>
      </c>
      <c r="S715" s="324">
        <f t="shared" si="235"/>
        <v>33099</v>
      </c>
      <c r="T715" s="638">
        <f t="shared" si="245"/>
        <v>33099</v>
      </c>
      <c r="U715" s="322">
        <v>773</v>
      </c>
      <c r="V715" s="80">
        <f t="shared" si="228"/>
        <v>1103.3</v>
      </c>
      <c r="W715" s="79"/>
      <c r="X715" s="322"/>
      <c r="Y715" s="79"/>
      <c r="Z715" s="322"/>
      <c r="AA715" s="79"/>
      <c r="AB715" s="322"/>
      <c r="AC715" s="79"/>
      <c r="AD715" s="322"/>
      <c r="AE715" s="323">
        <f t="shared" si="236"/>
        <v>0</v>
      </c>
      <c r="AF715" s="638">
        <f t="shared" si="246"/>
        <v>0</v>
      </c>
      <c r="AG715" s="322"/>
      <c r="AH715" s="90">
        <f t="shared" si="237"/>
        <v>0</v>
      </c>
      <c r="AI715" s="80">
        <f t="shared" si="238"/>
        <v>0</v>
      </c>
      <c r="AJ715" s="638">
        <f t="shared" si="247"/>
        <v>0</v>
      </c>
      <c r="AK715" s="322"/>
      <c r="AL715" s="80">
        <f t="shared" si="239"/>
        <v>0</v>
      </c>
      <c r="AM715" s="79"/>
      <c r="AN715" s="322"/>
      <c r="AO715" s="79">
        <v>16</v>
      </c>
      <c r="AP715" s="322">
        <v>2</v>
      </c>
      <c r="AQ715" s="79">
        <v>3</v>
      </c>
      <c r="AR715" s="322"/>
      <c r="AS715" s="79">
        <v>7</v>
      </c>
      <c r="AT715" s="322"/>
      <c r="AU715" s="325">
        <f t="shared" si="240"/>
        <v>26</v>
      </c>
      <c r="AV715" s="90">
        <f t="shared" si="230"/>
        <v>1.0833333333333333</v>
      </c>
      <c r="AW715" s="324">
        <f t="shared" si="241"/>
        <v>2</v>
      </c>
      <c r="AX715" s="80">
        <f t="shared" si="231"/>
        <v>8.3333333333333329E-2</v>
      </c>
      <c r="AY715" s="326">
        <f t="shared" si="242"/>
        <v>1183.6166666666666</v>
      </c>
      <c r="AZ715" s="80">
        <f t="shared" si="243"/>
        <v>1103.3833333333332</v>
      </c>
    </row>
    <row r="716" spans="1:52">
      <c r="A716" s="99" t="s">
        <v>771</v>
      </c>
      <c r="B716" s="99" t="s">
        <v>781</v>
      </c>
      <c r="C716" s="183">
        <v>237686</v>
      </c>
      <c r="D716" s="184">
        <v>7</v>
      </c>
      <c r="E716" s="162" t="s">
        <v>442</v>
      </c>
      <c r="F716" s="163" t="s">
        <v>442</v>
      </c>
      <c r="G716" s="79"/>
      <c r="H716" s="322"/>
      <c r="I716" s="79">
        <v>38110</v>
      </c>
      <c r="J716" s="322">
        <v>38158</v>
      </c>
      <c r="K716" s="79">
        <v>6657</v>
      </c>
      <c r="L716" s="322">
        <v>6926</v>
      </c>
      <c r="M716" s="79">
        <v>39602</v>
      </c>
      <c r="N716" s="322">
        <v>39085</v>
      </c>
      <c r="O716" s="323">
        <f t="shared" si="234"/>
        <v>84369</v>
      </c>
      <c r="P716" s="638">
        <f t="shared" si="244"/>
        <v>84369</v>
      </c>
      <c r="Q716" s="322">
        <v>3775</v>
      </c>
      <c r="R716" s="90">
        <f t="shared" si="227"/>
        <v>2812.3</v>
      </c>
      <c r="S716" s="324">
        <f t="shared" si="235"/>
        <v>84169</v>
      </c>
      <c r="T716" s="638">
        <f t="shared" si="245"/>
        <v>84169</v>
      </c>
      <c r="U716" s="322">
        <v>3453</v>
      </c>
      <c r="V716" s="80">
        <f t="shared" si="228"/>
        <v>2805.6333333333332</v>
      </c>
      <c r="W716" s="79"/>
      <c r="X716" s="322"/>
      <c r="Y716" s="79"/>
      <c r="Z716" s="322"/>
      <c r="AA716" s="79"/>
      <c r="AB716" s="322"/>
      <c r="AC716" s="79"/>
      <c r="AD716" s="322"/>
      <c r="AE716" s="323">
        <f t="shared" si="236"/>
        <v>0</v>
      </c>
      <c r="AF716" s="638">
        <f t="shared" si="246"/>
        <v>0</v>
      </c>
      <c r="AG716" s="322"/>
      <c r="AH716" s="90">
        <f t="shared" si="237"/>
        <v>0</v>
      </c>
      <c r="AI716" s="80">
        <f t="shared" si="238"/>
        <v>0</v>
      </c>
      <c r="AJ716" s="638">
        <f t="shared" si="247"/>
        <v>0</v>
      </c>
      <c r="AK716" s="322"/>
      <c r="AL716" s="80">
        <f t="shared" si="239"/>
        <v>0</v>
      </c>
      <c r="AM716" s="79"/>
      <c r="AN716" s="322"/>
      <c r="AO716" s="79"/>
      <c r="AP716" s="322"/>
      <c r="AQ716" s="79"/>
      <c r="AR716" s="322"/>
      <c r="AS716" s="79"/>
      <c r="AT716" s="322"/>
      <c r="AU716" s="325">
        <f t="shared" si="240"/>
        <v>0</v>
      </c>
      <c r="AV716" s="90">
        <f t="shared" si="230"/>
        <v>0</v>
      </c>
      <c r="AW716" s="324">
        <f t="shared" si="241"/>
        <v>0</v>
      </c>
      <c r="AX716" s="80">
        <f t="shared" si="231"/>
        <v>0</v>
      </c>
      <c r="AY716" s="326">
        <f t="shared" si="242"/>
        <v>2812.3</v>
      </c>
      <c r="AZ716" s="80">
        <f t="shared" si="243"/>
        <v>2805.6333333333332</v>
      </c>
    </row>
    <row r="717" spans="1:52">
      <c r="A717" s="99" t="s">
        <v>771</v>
      </c>
      <c r="B717" s="99" t="s">
        <v>782</v>
      </c>
      <c r="C717" s="183">
        <v>443492</v>
      </c>
      <c r="D717" s="184">
        <v>9</v>
      </c>
      <c r="E717" s="162" t="s">
        <v>442</v>
      </c>
      <c r="F717" s="163" t="s">
        <v>442</v>
      </c>
      <c r="G717" s="79"/>
      <c r="H717" s="322"/>
      <c r="I717" s="79">
        <v>24006</v>
      </c>
      <c r="J717" s="322">
        <v>26131</v>
      </c>
      <c r="K717" s="79">
        <v>2619</v>
      </c>
      <c r="L717" s="322">
        <v>2930</v>
      </c>
      <c r="M717" s="79">
        <v>29108</v>
      </c>
      <c r="N717" s="322">
        <v>27175</v>
      </c>
      <c r="O717" s="323">
        <f t="shared" si="234"/>
        <v>55733</v>
      </c>
      <c r="P717" s="638">
        <f t="shared" si="244"/>
        <v>55733</v>
      </c>
      <c r="Q717" s="322">
        <v>4654</v>
      </c>
      <c r="R717" s="90">
        <f t="shared" si="227"/>
        <v>1857.7666666666667</v>
      </c>
      <c r="S717" s="324">
        <f t="shared" si="235"/>
        <v>56236</v>
      </c>
      <c r="T717" s="638">
        <f t="shared" si="245"/>
        <v>56236</v>
      </c>
      <c r="U717" s="322">
        <v>4208</v>
      </c>
      <c r="V717" s="80">
        <f t="shared" si="228"/>
        <v>1874.5333333333333</v>
      </c>
      <c r="W717" s="79"/>
      <c r="X717" s="322"/>
      <c r="Y717" s="79"/>
      <c r="Z717" s="322"/>
      <c r="AA717" s="79"/>
      <c r="AB717" s="322"/>
      <c r="AC717" s="79"/>
      <c r="AD717" s="322"/>
      <c r="AE717" s="323">
        <f t="shared" si="236"/>
        <v>0</v>
      </c>
      <c r="AF717" s="638">
        <f t="shared" si="246"/>
        <v>0</v>
      </c>
      <c r="AG717" s="322"/>
      <c r="AH717" s="90">
        <f t="shared" si="237"/>
        <v>0</v>
      </c>
      <c r="AI717" s="80">
        <f t="shared" si="238"/>
        <v>0</v>
      </c>
      <c r="AJ717" s="638">
        <f t="shared" si="247"/>
        <v>0</v>
      </c>
      <c r="AK717" s="322"/>
      <c r="AL717" s="80">
        <f t="shared" si="239"/>
        <v>0</v>
      </c>
      <c r="AM717" s="79"/>
      <c r="AN717" s="322"/>
      <c r="AO717" s="79"/>
      <c r="AP717" s="322"/>
      <c r="AQ717" s="79"/>
      <c r="AR717" s="322"/>
      <c r="AS717" s="79"/>
      <c r="AT717" s="322"/>
      <c r="AU717" s="325">
        <f t="shared" si="240"/>
        <v>0</v>
      </c>
      <c r="AV717" s="90">
        <f t="shared" si="230"/>
        <v>0</v>
      </c>
      <c r="AW717" s="324">
        <f t="shared" si="241"/>
        <v>0</v>
      </c>
      <c r="AX717" s="80">
        <f t="shared" si="231"/>
        <v>0</v>
      </c>
      <c r="AY717" s="326">
        <f t="shared" si="242"/>
        <v>1857.7666666666667</v>
      </c>
      <c r="AZ717" s="80">
        <f t="shared" si="243"/>
        <v>1874.5333333333333</v>
      </c>
    </row>
    <row r="718" spans="1:52">
      <c r="A718" s="99" t="s">
        <v>771</v>
      </c>
      <c r="B718" s="99" t="s">
        <v>783</v>
      </c>
      <c r="C718" s="183">
        <v>446774</v>
      </c>
      <c r="D718" s="109">
        <v>10</v>
      </c>
      <c r="E718" s="162" t="s">
        <v>442</v>
      </c>
      <c r="F718" s="163" t="s">
        <v>442</v>
      </c>
      <c r="G718" s="79"/>
      <c r="H718" s="322"/>
      <c r="I718" s="79">
        <v>12019</v>
      </c>
      <c r="J718" s="322">
        <v>14473.5</v>
      </c>
      <c r="K718" s="79">
        <v>1568</v>
      </c>
      <c r="L718" s="322">
        <v>1831</v>
      </c>
      <c r="M718" s="79">
        <v>14965.6</v>
      </c>
      <c r="N718" s="322">
        <v>16962.5</v>
      </c>
      <c r="O718" s="323">
        <f t="shared" si="234"/>
        <v>28552.6</v>
      </c>
      <c r="P718" s="638">
        <f t="shared" si="244"/>
        <v>28552.6</v>
      </c>
      <c r="Q718" s="322">
        <v>854.1</v>
      </c>
      <c r="R718" s="90">
        <f t="shared" si="227"/>
        <v>951.75333333333333</v>
      </c>
      <c r="S718" s="324">
        <f t="shared" si="235"/>
        <v>33267</v>
      </c>
      <c r="T718" s="638">
        <f t="shared" si="245"/>
        <v>33267</v>
      </c>
      <c r="U718" s="322">
        <v>1076</v>
      </c>
      <c r="V718" s="80">
        <f t="shared" si="228"/>
        <v>1108.9000000000001</v>
      </c>
      <c r="W718" s="79"/>
      <c r="X718" s="322"/>
      <c r="Y718" s="79"/>
      <c r="Z718" s="322"/>
      <c r="AA718" s="79"/>
      <c r="AB718" s="322"/>
      <c r="AC718" s="79"/>
      <c r="AD718" s="322"/>
      <c r="AE718" s="323">
        <f t="shared" si="236"/>
        <v>0</v>
      </c>
      <c r="AF718" s="638">
        <f t="shared" si="246"/>
        <v>0</v>
      </c>
      <c r="AG718" s="322"/>
      <c r="AH718" s="90">
        <f t="shared" si="237"/>
        <v>0</v>
      </c>
      <c r="AI718" s="80">
        <f t="shared" si="238"/>
        <v>0</v>
      </c>
      <c r="AJ718" s="638">
        <f t="shared" si="247"/>
        <v>0</v>
      </c>
      <c r="AK718" s="322"/>
      <c r="AL718" s="80">
        <f t="shared" si="239"/>
        <v>0</v>
      </c>
      <c r="AM718" s="79"/>
      <c r="AN718" s="322"/>
      <c r="AO718" s="79"/>
      <c r="AP718" s="322"/>
      <c r="AQ718" s="79"/>
      <c r="AR718" s="322"/>
      <c r="AS718" s="79"/>
      <c r="AT718" s="322"/>
      <c r="AU718" s="325">
        <f t="shared" si="240"/>
        <v>0</v>
      </c>
      <c r="AV718" s="90">
        <f t="shared" si="230"/>
        <v>0</v>
      </c>
      <c r="AW718" s="324">
        <f t="shared" si="241"/>
        <v>0</v>
      </c>
      <c r="AX718" s="80">
        <f t="shared" si="231"/>
        <v>0</v>
      </c>
      <c r="AY718" s="326">
        <f t="shared" si="242"/>
        <v>951.75333333333333</v>
      </c>
      <c r="AZ718" s="80">
        <f t="shared" si="243"/>
        <v>1108.9000000000001</v>
      </c>
    </row>
    <row r="719" spans="1:52">
      <c r="A719" s="99" t="s">
        <v>771</v>
      </c>
      <c r="B719" s="99" t="s">
        <v>784</v>
      </c>
      <c r="C719" s="183">
        <v>445674</v>
      </c>
      <c r="D719" s="109">
        <v>10</v>
      </c>
      <c r="E719" s="162" t="s">
        <v>442</v>
      </c>
      <c r="F719" s="163" t="s">
        <v>442</v>
      </c>
      <c r="G719" s="79"/>
      <c r="H719" s="322"/>
      <c r="I719" s="79">
        <v>7934</v>
      </c>
      <c r="J719" s="322">
        <v>8305</v>
      </c>
      <c r="K719" s="79">
        <v>413</v>
      </c>
      <c r="L719" s="322">
        <v>487</v>
      </c>
      <c r="M719" s="79">
        <v>9158</v>
      </c>
      <c r="N719" s="322">
        <v>8584</v>
      </c>
      <c r="O719" s="323">
        <f t="shared" si="234"/>
        <v>17505</v>
      </c>
      <c r="P719" s="638">
        <f t="shared" si="244"/>
        <v>17505</v>
      </c>
      <c r="Q719" s="322">
        <v>303</v>
      </c>
      <c r="R719" s="90">
        <f t="shared" si="227"/>
        <v>583.5</v>
      </c>
      <c r="S719" s="324">
        <f t="shared" si="235"/>
        <v>17376</v>
      </c>
      <c r="T719" s="638">
        <f t="shared" si="245"/>
        <v>17376</v>
      </c>
      <c r="U719" s="322">
        <v>307</v>
      </c>
      <c r="V719" s="80">
        <f t="shared" si="228"/>
        <v>579.20000000000005</v>
      </c>
      <c r="W719" s="79"/>
      <c r="X719" s="322"/>
      <c r="Y719" s="79"/>
      <c r="Z719" s="322"/>
      <c r="AA719" s="79"/>
      <c r="AB719" s="322"/>
      <c r="AC719" s="79"/>
      <c r="AD719" s="322"/>
      <c r="AE719" s="323">
        <f t="shared" si="236"/>
        <v>0</v>
      </c>
      <c r="AF719" s="638">
        <f t="shared" si="246"/>
        <v>0</v>
      </c>
      <c r="AG719" s="322"/>
      <c r="AH719" s="90">
        <f t="shared" si="237"/>
        <v>0</v>
      </c>
      <c r="AI719" s="80">
        <f t="shared" si="238"/>
        <v>0</v>
      </c>
      <c r="AJ719" s="638">
        <f t="shared" si="247"/>
        <v>0</v>
      </c>
      <c r="AK719" s="322"/>
      <c r="AL719" s="80">
        <f t="shared" si="239"/>
        <v>0</v>
      </c>
      <c r="AM719" s="79"/>
      <c r="AN719" s="322"/>
      <c r="AO719" s="79"/>
      <c r="AP719" s="322"/>
      <c r="AQ719" s="79"/>
      <c r="AR719" s="322"/>
      <c r="AS719" s="79"/>
      <c r="AT719" s="322"/>
      <c r="AU719" s="325">
        <f t="shared" si="240"/>
        <v>0</v>
      </c>
      <c r="AV719" s="90">
        <f t="shared" si="230"/>
        <v>0</v>
      </c>
      <c r="AW719" s="324">
        <f t="shared" si="241"/>
        <v>0</v>
      </c>
      <c r="AX719" s="80">
        <f t="shared" si="231"/>
        <v>0</v>
      </c>
      <c r="AY719" s="326">
        <f t="shared" si="242"/>
        <v>583.5</v>
      </c>
      <c r="AZ719" s="80">
        <f t="shared" si="243"/>
        <v>579.20000000000005</v>
      </c>
    </row>
    <row r="720" spans="1:52">
      <c r="A720" s="99" t="s">
        <v>771</v>
      </c>
      <c r="B720" s="99" t="s">
        <v>785</v>
      </c>
      <c r="C720" s="183">
        <v>438708</v>
      </c>
      <c r="D720" s="109">
        <v>10</v>
      </c>
      <c r="E720" s="162" t="s">
        <v>442</v>
      </c>
      <c r="F720" s="163" t="s">
        <v>442</v>
      </c>
      <c r="G720" s="79"/>
      <c r="H720" s="322"/>
      <c r="I720" s="79">
        <v>2786</v>
      </c>
      <c r="J720" s="322">
        <v>2507</v>
      </c>
      <c r="K720" s="79">
        <v>346</v>
      </c>
      <c r="L720" s="322">
        <v>379</v>
      </c>
      <c r="M720" s="79">
        <v>3082</v>
      </c>
      <c r="N720" s="322">
        <v>3618</v>
      </c>
      <c r="O720" s="323">
        <f t="shared" si="234"/>
        <v>6214</v>
      </c>
      <c r="P720" s="638">
        <f t="shared" si="244"/>
        <v>6214</v>
      </c>
      <c r="Q720" s="322">
        <v>1683</v>
      </c>
      <c r="R720" s="90">
        <f t="shared" si="227"/>
        <v>207.13333333333333</v>
      </c>
      <c r="S720" s="324">
        <f t="shared" si="235"/>
        <v>6504</v>
      </c>
      <c r="T720" s="638">
        <f t="shared" si="245"/>
        <v>6504</v>
      </c>
      <c r="U720" s="322">
        <v>1671</v>
      </c>
      <c r="V720" s="80">
        <f t="shared" si="228"/>
        <v>216.8</v>
      </c>
      <c r="W720" s="79"/>
      <c r="X720" s="322"/>
      <c r="Y720" s="79"/>
      <c r="Z720" s="322"/>
      <c r="AA720" s="79"/>
      <c r="AB720" s="322"/>
      <c r="AC720" s="79"/>
      <c r="AD720" s="322"/>
      <c r="AE720" s="323">
        <f t="shared" si="236"/>
        <v>0</v>
      </c>
      <c r="AF720" s="638">
        <f t="shared" si="246"/>
        <v>0</v>
      </c>
      <c r="AG720" s="322"/>
      <c r="AH720" s="90">
        <f t="shared" si="237"/>
        <v>0</v>
      </c>
      <c r="AI720" s="80">
        <f t="shared" si="238"/>
        <v>0</v>
      </c>
      <c r="AJ720" s="638">
        <f t="shared" si="247"/>
        <v>0</v>
      </c>
      <c r="AK720" s="322"/>
      <c r="AL720" s="80">
        <f t="shared" si="239"/>
        <v>0</v>
      </c>
      <c r="AM720" s="79"/>
      <c r="AN720" s="322"/>
      <c r="AO720" s="79"/>
      <c r="AP720" s="322"/>
      <c r="AQ720" s="79"/>
      <c r="AR720" s="322"/>
      <c r="AS720" s="79"/>
      <c r="AT720" s="322"/>
      <c r="AU720" s="325">
        <f t="shared" si="240"/>
        <v>0</v>
      </c>
      <c r="AV720" s="90">
        <f t="shared" si="230"/>
        <v>0</v>
      </c>
      <c r="AW720" s="324">
        <f t="shared" si="241"/>
        <v>0</v>
      </c>
      <c r="AX720" s="80">
        <f t="shared" si="231"/>
        <v>0</v>
      </c>
      <c r="AY720" s="326">
        <f t="shared" si="242"/>
        <v>207.13333333333333</v>
      </c>
      <c r="AZ720" s="80">
        <f t="shared" si="243"/>
        <v>216.8</v>
      </c>
    </row>
    <row r="721" spans="1:52">
      <c r="A721" s="99" t="s">
        <v>771</v>
      </c>
      <c r="B721" s="99" t="s">
        <v>786</v>
      </c>
      <c r="C721" s="183">
        <v>444954</v>
      </c>
      <c r="D721" s="109">
        <v>10</v>
      </c>
      <c r="E721" s="162" t="s">
        <v>442</v>
      </c>
      <c r="F721" s="163" t="s">
        <v>442</v>
      </c>
      <c r="G721" s="79"/>
      <c r="H721" s="322"/>
      <c r="I721" s="79">
        <v>20169</v>
      </c>
      <c r="J721" s="322">
        <v>20350</v>
      </c>
      <c r="K721" s="79">
        <v>2959</v>
      </c>
      <c r="L721" s="322">
        <v>3305</v>
      </c>
      <c r="M721" s="79">
        <v>22815</v>
      </c>
      <c r="N721" s="322">
        <v>24471</v>
      </c>
      <c r="O721" s="323">
        <f t="shared" si="234"/>
        <v>45943</v>
      </c>
      <c r="P721" s="638">
        <f t="shared" si="244"/>
        <v>45943</v>
      </c>
      <c r="Q721" s="322">
        <v>1265</v>
      </c>
      <c r="R721" s="90">
        <f t="shared" si="227"/>
        <v>1531.4333333333334</v>
      </c>
      <c r="S721" s="324">
        <f t="shared" si="235"/>
        <v>48126</v>
      </c>
      <c r="T721" s="638">
        <f t="shared" si="245"/>
        <v>48126</v>
      </c>
      <c r="U721" s="322">
        <v>1275</v>
      </c>
      <c r="V721" s="80">
        <f t="shared" si="228"/>
        <v>1604.2</v>
      </c>
      <c r="W721" s="79"/>
      <c r="X721" s="322"/>
      <c r="Y721" s="79"/>
      <c r="Z721" s="322"/>
      <c r="AA721" s="79"/>
      <c r="AB721" s="322"/>
      <c r="AC721" s="79"/>
      <c r="AD721" s="322"/>
      <c r="AE721" s="323">
        <f t="shared" si="236"/>
        <v>0</v>
      </c>
      <c r="AF721" s="638">
        <f t="shared" si="246"/>
        <v>0</v>
      </c>
      <c r="AG721" s="322"/>
      <c r="AH721" s="90">
        <f t="shared" si="237"/>
        <v>0</v>
      </c>
      <c r="AI721" s="80">
        <f t="shared" si="238"/>
        <v>0</v>
      </c>
      <c r="AJ721" s="638">
        <f t="shared" si="247"/>
        <v>0</v>
      </c>
      <c r="AK721" s="322"/>
      <c r="AL721" s="80">
        <f t="shared" si="239"/>
        <v>0</v>
      </c>
      <c r="AM721" s="79"/>
      <c r="AN721" s="322"/>
      <c r="AO721" s="79"/>
      <c r="AP721" s="322"/>
      <c r="AQ721" s="79"/>
      <c r="AR721" s="322"/>
      <c r="AS721" s="79"/>
      <c r="AT721" s="322"/>
      <c r="AU721" s="325">
        <f t="shared" si="240"/>
        <v>0</v>
      </c>
      <c r="AV721" s="90">
        <f t="shared" si="230"/>
        <v>0</v>
      </c>
      <c r="AW721" s="324">
        <f t="shared" si="241"/>
        <v>0</v>
      </c>
      <c r="AX721" s="80">
        <f t="shared" si="231"/>
        <v>0</v>
      </c>
      <c r="AY721" s="326">
        <f t="shared" si="242"/>
        <v>1531.4333333333334</v>
      </c>
      <c r="AZ721" s="80">
        <f t="shared" si="243"/>
        <v>1604.2</v>
      </c>
    </row>
    <row r="722" spans="1:52">
      <c r="A722" s="99" t="s">
        <v>771</v>
      </c>
      <c r="B722" s="99" t="s">
        <v>787</v>
      </c>
      <c r="C722" s="183">
        <v>447582</v>
      </c>
      <c r="D722" s="109">
        <v>10</v>
      </c>
      <c r="E722" s="162" t="s">
        <v>442</v>
      </c>
      <c r="F722" s="163" t="s">
        <v>442</v>
      </c>
      <c r="G722" s="79"/>
      <c r="H722" s="322"/>
      <c r="I722" s="79">
        <v>17879</v>
      </c>
      <c r="J722" s="322">
        <v>21361.3</v>
      </c>
      <c r="K722" s="79">
        <v>3047</v>
      </c>
      <c r="L722" s="322">
        <v>3134</v>
      </c>
      <c r="M722" s="79">
        <v>21096</v>
      </c>
      <c r="N722" s="322">
        <v>22832</v>
      </c>
      <c r="O722" s="323">
        <f t="shared" si="234"/>
        <v>42022</v>
      </c>
      <c r="P722" s="638">
        <f t="shared" si="244"/>
        <v>42022</v>
      </c>
      <c r="Q722" s="322">
        <v>2620</v>
      </c>
      <c r="R722" s="90">
        <f t="shared" si="227"/>
        <v>1400.7333333333333</v>
      </c>
      <c r="S722" s="324">
        <f t="shared" si="235"/>
        <v>47327.3</v>
      </c>
      <c r="T722" s="638">
        <f t="shared" si="245"/>
        <v>47327.3</v>
      </c>
      <c r="U722" s="322">
        <v>2765</v>
      </c>
      <c r="V722" s="80">
        <f t="shared" si="228"/>
        <v>1577.5766666666668</v>
      </c>
      <c r="W722" s="79"/>
      <c r="X722" s="322"/>
      <c r="Y722" s="79"/>
      <c r="Z722" s="322"/>
      <c r="AA722" s="79"/>
      <c r="AB722" s="322"/>
      <c r="AC722" s="79"/>
      <c r="AD722" s="322"/>
      <c r="AE722" s="323">
        <f t="shared" si="236"/>
        <v>0</v>
      </c>
      <c r="AF722" s="638">
        <f t="shared" si="246"/>
        <v>0</v>
      </c>
      <c r="AG722" s="322"/>
      <c r="AH722" s="90">
        <f t="shared" si="237"/>
        <v>0</v>
      </c>
      <c r="AI722" s="80">
        <f t="shared" si="238"/>
        <v>0</v>
      </c>
      <c r="AJ722" s="638">
        <f t="shared" si="247"/>
        <v>0</v>
      </c>
      <c r="AK722" s="322"/>
      <c r="AL722" s="80">
        <f t="shared" si="239"/>
        <v>0</v>
      </c>
      <c r="AM722" s="79"/>
      <c r="AN722" s="322"/>
      <c r="AO722" s="79"/>
      <c r="AP722" s="322"/>
      <c r="AQ722" s="79"/>
      <c r="AR722" s="322"/>
      <c r="AS722" s="79"/>
      <c r="AT722" s="322"/>
      <c r="AU722" s="325">
        <f t="shared" si="240"/>
        <v>0</v>
      </c>
      <c r="AV722" s="90">
        <f t="shared" si="230"/>
        <v>0</v>
      </c>
      <c r="AW722" s="324">
        <f t="shared" si="241"/>
        <v>0</v>
      </c>
      <c r="AX722" s="80">
        <f t="shared" si="231"/>
        <v>0</v>
      </c>
      <c r="AY722" s="326">
        <f t="shared" si="242"/>
        <v>1400.7333333333333</v>
      </c>
      <c r="AZ722" s="80">
        <f t="shared" si="243"/>
        <v>1577.5766666666668</v>
      </c>
    </row>
    <row r="723" spans="1:52">
      <c r="A723" s="99" t="s">
        <v>771</v>
      </c>
      <c r="B723" s="99" t="s">
        <v>788</v>
      </c>
      <c r="C723" s="183">
        <v>237701</v>
      </c>
      <c r="D723" s="109">
        <v>10</v>
      </c>
      <c r="E723" s="162" t="s">
        <v>442</v>
      </c>
      <c r="F723" s="163" t="s">
        <v>442</v>
      </c>
      <c r="G723" s="79"/>
      <c r="H723" s="322"/>
      <c r="I723" s="79">
        <v>15529</v>
      </c>
      <c r="J723" s="322">
        <v>16557</v>
      </c>
      <c r="K723" s="79">
        <v>926</v>
      </c>
      <c r="L723" s="322">
        <v>988</v>
      </c>
      <c r="M723" s="79">
        <v>19068</v>
      </c>
      <c r="N723" s="322">
        <v>18725</v>
      </c>
      <c r="O723" s="323">
        <f t="shared" si="234"/>
        <v>35523</v>
      </c>
      <c r="P723" s="638">
        <f t="shared" si="244"/>
        <v>35523</v>
      </c>
      <c r="Q723" s="322">
        <v>2961</v>
      </c>
      <c r="R723" s="90">
        <f t="shared" si="227"/>
        <v>1184.0999999999999</v>
      </c>
      <c r="S723" s="324">
        <f t="shared" si="235"/>
        <v>36270</v>
      </c>
      <c r="T723" s="638">
        <f t="shared" si="245"/>
        <v>36270</v>
      </c>
      <c r="U723" s="322">
        <v>2852</v>
      </c>
      <c r="V723" s="80">
        <f t="shared" si="228"/>
        <v>1209</v>
      </c>
      <c r="W723" s="79"/>
      <c r="X723" s="322"/>
      <c r="Y723" s="79"/>
      <c r="Z723" s="322"/>
      <c r="AA723" s="79"/>
      <c r="AB723" s="322"/>
      <c r="AC723" s="79"/>
      <c r="AD723" s="322"/>
      <c r="AE723" s="323">
        <f t="shared" si="236"/>
        <v>0</v>
      </c>
      <c r="AF723" s="638">
        <f t="shared" si="246"/>
        <v>0</v>
      </c>
      <c r="AG723" s="322"/>
      <c r="AH723" s="90">
        <f t="shared" si="237"/>
        <v>0</v>
      </c>
      <c r="AI723" s="80">
        <f t="shared" si="238"/>
        <v>0</v>
      </c>
      <c r="AJ723" s="638">
        <f t="shared" si="247"/>
        <v>0</v>
      </c>
      <c r="AK723" s="322"/>
      <c r="AL723" s="80">
        <f t="shared" si="239"/>
        <v>0</v>
      </c>
      <c r="AM723" s="79"/>
      <c r="AN723" s="322"/>
      <c r="AO723" s="79"/>
      <c r="AP723" s="322"/>
      <c r="AQ723" s="79"/>
      <c r="AR723" s="322"/>
      <c r="AS723" s="79"/>
      <c r="AT723" s="322"/>
      <c r="AU723" s="325">
        <f t="shared" si="240"/>
        <v>0</v>
      </c>
      <c r="AV723" s="90">
        <f t="shared" si="230"/>
        <v>0</v>
      </c>
      <c r="AW723" s="324">
        <f t="shared" si="241"/>
        <v>0</v>
      </c>
      <c r="AX723" s="80">
        <f t="shared" si="231"/>
        <v>0</v>
      </c>
      <c r="AY723" s="326">
        <f t="shared" si="242"/>
        <v>1184.0999999999999</v>
      </c>
      <c r="AZ723" s="80">
        <f t="shared" si="243"/>
        <v>1209</v>
      </c>
    </row>
    <row r="724" spans="1:52">
      <c r="A724" s="99" t="s">
        <v>771</v>
      </c>
      <c r="B724" s="99" t="s">
        <v>789</v>
      </c>
      <c r="C724" s="183">
        <v>237817</v>
      </c>
      <c r="D724" s="109">
        <v>10</v>
      </c>
      <c r="E724" s="162" t="s">
        <v>442</v>
      </c>
      <c r="F724" s="163" t="s">
        <v>442</v>
      </c>
      <c r="G724" s="79"/>
      <c r="H724" s="322"/>
      <c r="I724" s="79">
        <v>22630</v>
      </c>
      <c r="J724" s="322">
        <v>22742</v>
      </c>
      <c r="K724" s="79">
        <v>1332</v>
      </c>
      <c r="L724" s="322">
        <v>1595</v>
      </c>
      <c r="M724" s="79">
        <v>24366</v>
      </c>
      <c r="N724" s="322">
        <v>25227</v>
      </c>
      <c r="O724" s="323">
        <f t="shared" si="234"/>
        <v>48328</v>
      </c>
      <c r="P724" s="638">
        <f t="shared" si="244"/>
        <v>48328</v>
      </c>
      <c r="Q724" s="322">
        <v>2504</v>
      </c>
      <c r="R724" s="90">
        <f t="shared" si="227"/>
        <v>1610.9333333333334</v>
      </c>
      <c r="S724" s="324">
        <f t="shared" si="235"/>
        <v>49564</v>
      </c>
      <c r="T724" s="638">
        <f t="shared" si="245"/>
        <v>49564</v>
      </c>
      <c r="U724" s="322">
        <v>3302</v>
      </c>
      <c r="V724" s="80">
        <f t="shared" si="228"/>
        <v>1652.1333333333334</v>
      </c>
      <c r="W724" s="79"/>
      <c r="X724" s="322"/>
      <c r="Y724" s="79"/>
      <c r="Z724" s="322"/>
      <c r="AA724" s="79"/>
      <c r="AB724" s="322"/>
      <c r="AC724" s="79"/>
      <c r="AD724" s="322"/>
      <c r="AE724" s="323">
        <f t="shared" si="236"/>
        <v>0</v>
      </c>
      <c r="AF724" s="638">
        <f t="shared" si="246"/>
        <v>0</v>
      </c>
      <c r="AG724" s="322"/>
      <c r="AH724" s="90">
        <f t="shared" si="237"/>
        <v>0</v>
      </c>
      <c r="AI724" s="80">
        <f t="shared" si="238"/>
        <v>0</v>
      </c>
      <c r="AJ724" s="638">
        <f t="shared" si="247"/>
        <v>0</v>
      </c>
      <c r="AK724" s="322"/>
      <c r="AL724" s="80">
        <f t="shared" si="239"/>
        <v>0</v>
      </c>
      <c r="AM724" s="79"/>
      <c r="AN724" s="322"/>
      <c r="AO724" s="79"/>
      <c r="AP724" s="322"/>
      <c r="AQ724" s="79"/>
      <c r="AR724" s="322"/>
      <c r="AS724" s="79"/>
      <c r="AT724" s="322"/>
      <c r="AU724" s="325">
        <f t="shared" si="240"/>
        <v>0</v>
      </c>
      <c r="AV724" s="90">
        <f>+AU724/24</f>
        <v>0</v>
      </c>
      <c r="AW724" s="324">
        <f t="shared" si="241"/>
        <v>0</v>
      </c>
      <c r="AX724" s="80">
        <f>+AW724/24</f>
        <v>0</v>
      </c>
      <c r="AY724" s="326">
        <f t="shared" si="242"/>
        <v>1610.9333333333334</v>
      </c>
      <c r="AZ724" s="80">
        <f t="shared" si="243"/>
        <v>1652.1333333333334</v>
      </c>
    </row>
    <row r="725" spans="1:52">
      <c r="A725" s="99" t="s">
        <v>771</v>
      </c>
      <c r="B725" s="99" t="s">
        <v>790</v>
      </c>
      <c r="C725" s="183">
        <v>238014</v>
      </c>
      <c r="D725" s="109">
        <v>10</v>
      </c>
      <c r="E725" s="162" t="s">
        <v>442</v>
      </c>
      <c r="F725" s="163" t="s">
        <v>442</v>
      </c>
      <c r="G725" s="79"/>
      <c r="H725" s="322"/>
      <c r="I725" s="79">
        <v>27022.799999999999</v>
      </c>
      <c r="J725" s="322">
        <v>26169.3</v>
      </c>
      <c r="K725" s="79">
        <v>7759.3</v>
      </c>
      <c r="L725" s="322">
        <v>5644</v>
      </c>
      <c r="M725" s="79">
        <v>28471.3</v>
      </c>
      <c r="N725" s="322">
        <v>27357.9</v>
      </c>
      <c r="O725" s="323">
        <f t="shared" si="234"/>
        <v>63253.399999999994</v>
      </c>
      <c r="P725" s="638">
        <f t="shared" si="244"/>
        <v>63253.399999999994</v>
      </c>
      <c r="Q725" s="322">
        <v>4469.5</v>
      </c>
      <c r="R725" s="90">
        <f t="shared" si="227"/>
        <v>2108.4466666666663</v>
      </c>
      <c r="S725" s="324">
        <f t="shared" si="235"/>
        <v>59171.199999999997</v>
      </c>
      <c r="T725" s="638">
        <f t="shared" si="245"/>
        <v>59171.199999999997</v>
      </c>
      <c r="U725" s="322">
        <v>4067.3</v>
      </c>
      <c r="V725" s="80">
        <f t="shared" si="228"/>
        <v>1972.3733333333332</v>
      </c>
      <c r="W725" s="79"/>
      <c r="X725" s="322"/>
      <c r="Y725" s="79"/>
      <c r="Z725" s="322"/>
      <c r="AA725" s="79"/>
      <c r="AB725" s="322"/>
      <c r="AC725" s="79"/>
      <c r="AD725" s="322"/>
      <c r="AE725" s="323">
        <f t="shared" si="236"/>
        <v>0</v>
      </c>
      <c r="AF725" s="638">
        <f t="shared" si="246"/>
        <v>0</v>
      </c>
      <c r="AG725" s="322"/>
      <c r="AH725" s="90">
        <f t="shared" si="237"/>
        <v>0</v>
      </c>
      <c r="AI725" s="80">
        <f t="shared" si="238"/>
        <v>0</v>
      </c>
      <c r="AJ725" s="638">
        <f t="shared" si="247"/>
        <v>0</v>
      </c>
      <c r="AK725" s="322"/>
      <c r="AL725" s="80">
        <f t="shared" si="239"/>
        <v>0</v>
      </c>
      <c r="AM725" s="79"/>
      <c r="AN725" s="322"/>
      <c r="AO725" s="79"/>
      <c r="AP725" s="322"/>
      <c r="AQ725" s="79"/>
      <c r="AR725" s="322"/>
      <c r="AS725" s="79"/>
      <c r="AT725" s="322"/>
      <c r="AU725" s="325">
        <f t="shared" si="240"/>
        <v>0</v>
      </c>
      <c r="AV725" s="90">
        <f>+AU725/24</f>
        <v>0</v>
      </c>
      <c r="AW725" s="324">
        <f t="shared" si="241"/>
        <v>0</v>
      </c>
      <c r="AX725" s="80">
        <f>+AW725/24</f>
        <v>0</v>
      </c>
      <c r="AY725" s="326">
        <f t="shared" si="242"/>
        <v>2108.4466666666663</v>
      </c>
      <c r="AZ725" s="80">
        <f t="shared" si="243"/>
        <v>1972.3733333333332</v>
      </c>
    </row>
    <row r="726" spans="1:52">
      <c r="A726" s="99" t="s">
        <v>771</v>
      </c>
      <c r="B726" s="99" t="s">
        <v>791</v>
      </c>
      <c r="C726" s="183">
        <v>445018</v>
      </c>
      <c r="D726" s="109">
        <v>10</v>
      </c>
      <c r="E726" s="162" t="s">
        <v>442</v>
      </c>
      <c r="F726" s="163" t="s">
        <v>442</v>
      </c>
      <c r="G726" s="79"/>
      <c r="H726" s="322"/>
      <c r="I726" s="79">
        <v>17505</v>
      </c>
      <c r="J726" s="322">
        <v>16869</v>
      </c>
      <c r="K726" s="79">
        <v>1787</v>
      </c>
      <c r="L726" s="322">
        <v>1990</v>
      </c>
      <c r="M726" s="79">
        <v>17885</v>
      </c>
      <c r="N726" s="322">
        <v>19293</v>
      </c>
      <c r="O726" s="323">
        <f t="shared" si="234"/>
        <v>37177</v>
      </c>
      <c r="P726" s="638">
        <f t="shared" si="244"/>
        <v>37177</v>
      </c>
      <c r="Q726" s="322">
        <v>344</v>
      </c>
      <c r="R726" s="90">
        <f t="shared" si="227"/>
        <v>1239.2333333333333</v>
      </c>
      <c r="S726" s="324">
        <f t="shared" si="235"/>
        <v>38152</v>
      </c>
      <c r="T726" s="638">
        <f t="shared" si="245"/>
        <v>38152</v>
      </c>
      <c r="U726" s="322">
        <v>262</v>
      </c>
      <c r="V726" s="80">
        <f t="shared" si="228"/>
        <v>1271.7333333333333</v>
      </c>
      <c r="W726" s="79"/>
      <c r="X726" s="322"/>
      <c r="Y726" s="79"/>
      <c r="Z726" s="322"/>
      <c r="AA726" s="79"/>
      <c r="AB726" s="322"/>
      <c r="AC726" s="79"/>
      <c r="AD726" s="322"/>
      <c r="AE726" s="323">
        <f t="shared" si="236"/>
        <v>0</v>
      </c>
      <c r="AF726" s="638">
        <f t="shared" si="246"/>
        <v>0</v>
      </c>
      <c r="AG726" s="322"/>
      <c r="AH726" s="90">
        <f t="shared" si="237"/>
        <v>0</v>
      </c>
      <c r="AI726" s="80">
        <f t="shared" si="238"/>
        <v>0</v>
      </c>
      <c r="AJ726" s="638">
        <f t="shared" si="247"/>
        <v>0</v>
      </c>
      <c r="AK726" s="322"/>
      <c r="AL726" s="80">
        <f t="shared" si="239"/>
        <v>0</v>
      </c>
      <c r="AM726" s="79"/>
      <c r="AN726" s="322"/>
      <c r="AO726" s="79"/>
      <c r="AP726" s="322"/>
      <c r="AQ726" s="79"/>
      <c r="AR726" s="322"/>
      <c r="AS726" s="79"/>
      <c r="AT726" s="322"/>
      <c r="AU726" s="325">
        <f t="shared" si="240"/>
        <v>0</v>
      </c>
      <c r="AV726" s="90">
        <f>+AU726/24</f>
        <v>0</v>
      </c>
      <c r="AW726" s="324">
        <f t="shared" si="241"/>
        <v>0</v>
      </c>
      <c r="AX726" s="80">
        <f>+AW726/24</f>
        <v>0</v>
      </c>
      <c r="AY726" s="326">
        <f t="shared" si="242"/>
        <v>1239.2333333333333</v>
      </c>
      <c r="AZ726" s="80">
        <f t="shared" si="243"/>
        <v>1271.7333333333333</v>
      </c>
    </row>
  </sheetData>
  <phoneticPr fontId="0" type="noConversion"/>
  <conditionalFormatting sqref="J679:J726 L679:L726 N679:N726 L639:L677 N639:N677 J639:J677 AP142:AP726 AP5:AP140 AB5:AB726 AD5:AD726 Z5:Z726 AT5:AT726 AR5:AR726 AN5:AN726 X5:X726 J5:J637 L5:L637 N5:N637 H5:H726">
    <cfRule type="expression" dxfId="43" priority="47" stopIfTrue="1">
      <formula>H5&lt;(G5-(G5*0.1))</formula>
    </cfRule>
    <cfRule type="expression" dxfId="42" priority="48" stopIfTrue="1">
      <formula>H5&gt;(G5+(G5*0.1))</formula>
    </cfRule>
  </conditionalFormatting>
  <conditionalFormatting sqref="J678 L678 N678">
    <cfRule type="expression" dxfId="41" priority="49" stopIfTrue="1">
      <formula>J678&lt;(I638-(I638*0.1))</formula>
    </cfRule>
    <cfRule type="expression" dxfId="40" priority="50" stopIfTrue="1">
      <formula>J678&gt;(I638+(I638*0.1))</formula>
    </cfRule>
  </conditionalFormatting>
  <conditionalFormatting sqref="L405">
    <cfRule type="expression" dxfId="39" priority="45" stopIfTrue="1">
      <formula>L405&lt;(K405-(K405*0.1))</formula>
    </cfRule>
    <cfRule type="expression" dxfId="38" priority="46" stopIfTrue="1">
      <formula>L405&gt;(K405+(K405*0.1))</formula>
    </cfRule>
  </conditionalFormatting>
  <conditionalFormatting sqref="L415">
    <cfRule type="expression" dxfId="37" priority="43" stopIfTrue="1">
      <formula>L415&lt;(K415-(K415*0.1))</formula>
    </cfRule>
    <cfRule type="expression" dxfId="36" priority="44" stopIfTrue="1">
      <formula>L415&gt;(K415+(K415*0.1))</formula>
    </cfRule>
  </conditionalFormatting>
  <conditionalFormatting sqref="L420">
    <cfRule type="expression" dxfId="35" priority="41" stopIfTrue="1">
      <formula>L420&lt;(K420-(K420*0.1))</formula>
    </cfRule>
    <cfRule type="expression" dxfId="34" priority="42" stopIfTrue="1">
      <formula>L420&gt;(K420+(K420*0.1))</formula>
    </cfRule>
  </conditionalFormatting>
  <conditionalFormatting sqref="N399:N405">
    <cfRule type="expression" dxfId="33" priority="39" stopIfTrue="1">
      <formula>N399&lt;(M399-(M399*0.1))</formula>
    </cfRule>
    <cfRule type="expression" dxfId="32" priority="40" stopIfTrue="1">
      <formula>N399&gt;(M399+(M399*0.1))</formula>
    </cfRule>
  </conditionalFormatting>
  <conditionalFormatting sqref="N407">
    <cfRule type="expression" dxfId="31" priority="37" stopIfTrue="1">
      <formula>N407&lt;(M407-(M407*0.1))</formula>
    </cfRule>
    <cfRule type="expression" dxfId="30" priority="38" stopIfTrue="1">
      <formula>N407&gt;(M407+(M407*0.1))</formula>
    </cfRule>
  </conditionalFormatting>
  <conditionalFormatting sqref="N409">
    <cfRule type="expression" dxfId="29" priority="35" stopIfTrue="1">
      <formula>N409&lt;(M409-(M409*0.1))</formula>
    </cfRule>
    <cfRule type="expression" dxfId="28" priority="36" stopIfTrue="1">
      <formula>N409&gt;(M409+(M409*0.1))</formula>
    </cfRule>
  </conditionalFormatting>
  <conditionalFormatting sqref="N412:N416">
    <cfRule type="expression" dxfId="27" priority="33" stopIfTrue="1">
      <formula>N412&lt;(M412-(M412*0.1))</formula>
    </cfRule>
    <cfRule type="expression" dxfId="26" priority="34" stopIfTrue="1">
      <formula>N412&gt;(M412+(M412*0.1))</formula>
    </cfRule>
  </conditionalFormatting>
  <conditionalFormatting sqref="N410">
    <cfRule type="expression" dxfId="25" priority="29" stopIfTrue="1">
      <formula>N410&lt;(M410-(M410*0.1))</formula>
    </cfRule>
    <cfRule type="expression" dxfId="24" priority="30" stopIfTrue="1">
      <formula>N410&gt;(M410+(M410*0.1))</formula>
    </cfRule>
  </conditionalFormatting>
  <conditionalFormatting sqref="N417">
    <cfRule type="expression" dxfId="23" priority="27" stopIfTrue="1">
      <formula>N417&lt;(M417-(M417*0.1))</formula>
    </cfRule>
    <cfRule type="expression" dxfId="22" priority="28" stopIfTrue="1">
      <formula>N417&gt;(M417+(M417*0.1))</formula>
    </cfRule>
  </conditionalFormatting>
  <conditionalFormatting sqref="N418">
    <cfRule type="expression" dxfId="21" priority="25" stopIfTrue="1">
      <formula>N418&lt;(M418-(M418*0.1))</formula>
    </cfRule>
    <cfRule type="expression" dxfId="20" priority="26" stopIfTrue="1">
      <formula>N418&gt;(M418+(M418*0.1))</formula>
    </cfRule>
  </conditionalFormatting>
  <conditionalFormatting sqref="AT399:AT408">
    <cfRule type="expression" dxfId="19" priority="23" stopIfTrue="1">
      <formula>AT399&lt;(AS399-(AS399*0.1))</formula>
    </cfRule>
    <cfRule type="expression" dxfId="18" priority="24" stopIfTrue="1">
      <formula>AT399&gt;(AS399+(AS399*0.1))</formula>
    </cfRule>
  </conditionalFormatting>
  <conditionalFormatting sqref="Q81:Q91 U120:U151 AK665:AK726 AG120:AG425 AG472:AG525 AK472:AK525 AK553:AK587 AG553:AG587 AG665:AG726 AG5:AG91 AK5:AK425">
    <cfRule type="expression" dxfId="17" priority="21" stopIfTrue="1">
      <formula>Q5&lt;(O5-(O5*0.1))</formula>
    </cfRule>
    <cfRule type="expression" dxfId="16" priority="22" stopIfTrue="1">
      <formula>Q5&gt;(O5+(O5*0.1))</formula>
    </cfRule>
  </conditionalFormatting>
  <conditionalFormatting sqref="U81:U91">
    <cfRule type="expression" dxfId="15" priority="19" stopIfTrue="1">
      <formula>U81&lt;(S81-(S81*0.1))</formula>
    </cfRule>
    <cfRule type="expression" dxfId="14" priority="20" stopIfTrue="1">
      <formula>U81&gt;(S81+(S81*0.1))</formula>
    </cfRule>
  </conditionalFormatting>
  <conditionalFormatting sqref="N47">
    <cfRule type="expression" dxfId="13" priority="17" stopIfTrue="1">
      <formula>N47&lt;(M47-(M47*0.1))</formula>
    </cfRule>
    <cfRule type="expression" dxfId="12" priority="18" stopIfTrue="1">
      <formula>N47&gt;(M47+(M47*0.1))</formula>
    </cfRule>
  </conditionalFormatting>
  <conditionalFormatting sqref="N52">
    <cfRule type="expression" dxfId="11" priority="15" stopIfTrue="1">
      <formula>N52&lt;(M52-(M52*0.1))</formula>
    </cfRule>
    <cfRule type="expression" dxfId="10" priority="16" stopIfTrue="1">
      <formula>N52&gt;(M52+(M52*0.1))</formula>
    </cfRule>
  </conditionalFormatting>
  <conditionalFormatting sqref="N66">
    <cfRule type="expression" dxfId="9" priority="13" stopIfTrue="1">
      <formula>N66&lt;(M66-(M66*0.1))</formula>
    </cfRule>
    <cfRule type="expression" dxfId="8" priority="14" stopIfTrue="1">
      <formula>N66&gt;(M66+(M66*0.1))</formula>
    </cfRule>
  </conditionalFormatting>
  <conditionalFormatting sqref="U47">
    <cfRule type="expression" dxfId="7" priority="11" stopIfTrue="1">
      <formula>U47&lt;(S47-(S47*0.1))</formula>
    </cfRule>
    <cfRule type="expression" dxfId="6" priority="12" stopIfTrue="1">
      <formula>U47&gt;(S47+(S47*0.1))</formula>
    </cfRule>
  </conditionalFormatting>
  <conditionalFormatting sqref="U59">
    <cfRule type="expression" dxfId="5" priority="9" stopIfTrue="1">
      <formula>U59&lt;(S59-(S59*0.1))</formula>
    </cfRule>
    <cfRule type="expression" dxfId="4" priority="10" stopIfTrue="1">
      <formula>U59&gt;(S59+(S59*0.1))</formula>
    </cfRule>
  </conditionalFormatting>
  <conditionalFormatting sqref="U70">
    <cfRule type="expression" dxfId="3" priority="7" stopIfTrue="1">
      <formula>U70&lt;(S70-(S70*0.1))</formula>
    </cfRule>
    <cfRule type="expression" dxfId="2" priority="8" stopIfTrue="1">
      <formula>U70&gt;(S70+(S70*0.1))</formula>
    </cfRule>
  </conditionalFormatting>
  <conditionalFormatting sqref="U72">
    <cfRule type="expression" dxfId="1" priority="5" stopIfTrue="1">
      <formula>U72&lt;(S72-(S72*0.1))</formula>
    </cfRule>
    <cfRule type="expression" dxfId="0" priority="6" stopIfTrue="1">
      <formula>U72&gt;(S72+(S72*0.1))</formula>
    </cfRule>
  </conditionalFormatting>
  <pageMargins left="0.75" right="0.75" top="1" bottom="1" header="0.5" footer="0.5"/>
  <pageSetup paperSize="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3">
    <tabColor indexed="16"/>
  </sheetPr>
  <dimension ref="A1:BJ267"/>
  <sheetViews>
    <sheetView showGridLines="0" showZeros="0" view="pageBreakPreview" zoomScale="90" zoomScaleNormal="90" zoomScaleSheetLayoutView="90" workbookViewId="0">
      <selection activeCell="R2" sqref="R2"/>
    </sheetView>
  </sheetViews>
  <sheetFormatPr defaultRowHeight="12.75"/>
  <cols>
    <col min="1" max="1" width="15" style="1" customWidth="1"/>
    <col min="2" max="2" width="11.1640625" style="1" customWidth="1"/>
    <col min="3" max="3" width="10" style="1" customWidth="1"/>
    <col min="4" max="4" width="12.33203125" style="1" customWidth="1"/>
    <col min="5" max="5" width="10" style="1" customWidth="1"/>
    <col min="6" max="6" width="12.5" style="1" customWidth="1"/>
    <col min="7" max="7" width="10" style="1" customWidth="1"/>
    <col min="8" max="8" width="11.1640625" style="4" customWidth="1"/>
    <col min="9" max="9" width="10" style="1" customWidth="1"/>
    <col min="10" max="10" width="11.33203125" style="4" customWidth="1"/>
    <col min="11" max="11" width="10" style="4" customWidth="1"/>
    <col min="12" max="12" width="10.5" style="4" customWidth="1"/>
    <col min="13" max="13" width="10" style="74" customWidth="1"/>
    <col min="14" max="14" width="12.1640625" style="1" customWidth="1"/>
    <col min="15" max="15" width="10" style="1" customWidth="1"/>
    <col min="16" max="16" width="12" style="1" customWidth="1"/>
    <col min="17" max="17" width="12.33203125" style="1" customWidth="1"/>
    <col min="18" max="18" width="14.6640625" style="1" customWidth="1"/>
    <col min="19" max="19" width="14.1640625" style="1" customWidth="1"/>
    <col min="20" max="20" width="13.6640625" style="1" customWidth="1"/>
    <col min="21" max="21" width="13.83203125" style="1" customWidth="1"/>
    <col min="22" max="22" width="12.33203125" style="1" customWidth="1"/>
    <col min="23" max="23" width="12.83203125" style="1" customWidth="1"/>
    <col min="24" max="24" width="11.33203125" style="1" customWidth="1"/>
    <col min="25" max="26" width="13.33203125" style="1" customWidth="1"/>
    <col min="27" max="27" width="12.1640625" style="1" customWidth="1"/>
    <col min="28" max="28" width="12.5" style="1" customWidth="1"/>
    <col min="29" max="29" width="12.1640625" style="1" customWidth="1"/>
    <col min="30" max="30" width="9.83203125" style="1" customWidth="1"/>
    <col min="31" max="31" width="11.5" style="1" customWidth="1"/>
    <col min="32" max="32" width="10.83203125" style="1" bestFit="1" customWidth="1"/>
    <col min="33" max="33" width="10" style="1" bestFit="1" customWidth="1"/>
    <col min="34" max="34" width="11.1640625" style="1" customWidth="1"/>
    <col min="35" max="35" width="10" style="1" bestFit="1" customWidth="1"/>
    <col min="36" max="36" width="9.33203125" style="1"/>
    <col min="37" max="37" width="9.5" style="1" bestFit="1" customWidth="1"/>
    <col min="38" max="38" width="12.5" style="1" customWidth="1"/>
    <col min="39" max="39" width="9.33203125" style="1"/>
    <col min="40" max="40" width="11.5" style="1" customWidth="1"/>
    <col min="41" max="41" width="9.33203125" style="1"/>
    <col min="42" max="42" width="12" style="1" customWidth="1"/>
    <col min="43" max="44" width="9.33203125" style="1"/>
    <col min="45" max="45" width="9.5" style="1" bestFit="1" customWidth="1"/>
    <col min="46" max="46" width="11" style="1" customWidth="1"/>
    <col min="47" max="48" width="9.33203125" style="1"/>
    <col min="49" max="49" width="11.1640625" style="1" customWidth="1"/>
    <col min="50" max="16384" width="9.33203125" style="1"/>
  </cols>
  <sheetData>
    <row r="1" spans="1:31" ht="18">
      <c r="A1" s="42" t="s">
        <v>523</v>
      </c>
      <c r="B1" s="20"/>
      <c r="C1" s="20"/>
      <c r="D1" s="20"/>
      <c r="E1" s="20"/>
      <c r="F1" s="20"/>
      <c r="G1" s="20"/>
      <c r="H1" s="128"/>
      <c r="I1" s="20"/>
      <c r="J1" s="128"/>
      <c r="K1" s="128"/>
      <c r="L1" s="128"/>
      <c r="M1" s="539"/>
      <c r="N1" s="17"/>
      <c r="O1" s="22"/>
    </row>
    <row r="2" spans="1:31" ht="15.75">
      <c r="A2" s="21"/>
      <c r="B2" s="21"/>
      <c r="C2" s="21"/>
      <c r="D2" s="21"/>
      <c r="E2" s="21"/>
      <c r="F2" s="21"/>
      <c r="G2" s="21"/>
      <c r="H2" s="129"/>
      <c r="I2" s="21"/>
      <c r="J2" s="129"/>
      <c r="K2" s="129"/>
      <c r="L2" s="129"/>
      <c r="M2" s="468"/>
      <c r="N2" s="540"/>
      <c r="O2" s="22"/>
    </row>
    <row r="3" spans="1:31" ht="15.75">
      <c r="A3" s="134" t="s">
        <v>431</v>
      </c>
      <c r="B3" s="22"/>
      <c r="C3" s="22"/>
      <c r="D3" s="22"/>
      <c r="E3" s="22"/>
      <c r="F3" s="22"/>
      <c r="G3" s="22"/>
      <c r="H3" s="130"/>
      <c r="I3" s="22"/>
      <c r="J3" s="130"/>
      <c r="K3" s="130"/>
      <c r="L3" s="130"/>
      <c r="M3" s="425"/>
      <c r="N3" s="22"/>
      <c r="O3" s="540"/>
    </row>
    <row r="4" spans="1:31" ht="15.75">
      <c r="A4" s="44" t="s">
        <v>69</v>
      </c>
      <c r="B4" s="22"/>
      <c r="C4" s="22"/>
      <c r="D4" s="22"/>
      <c r="E4" s="22"/>
      <c r="F4" s="22"/>
      <c r="G4" s="22"/>
      <c r="H4" s="130"/>
      <c r="I4" s="22"/>
      <c r="J4" s="130"/>
      <c r="K4" s="130"/>
      <c r="L4" s="130"/>
      <c r="M4" s="425"/>
      <c r="N4" s="541"/>
      <c r="O4" s="22"/>
    </row>
    <row r="5" spans="1:31" ht="15.75" customHeight="1">
      <c r="B5" s="2"/>
      <c r="C5" s="2"/>
      <c r="D5" s="2"/>
      <c r="E5" s="2"/>
      <c r="F5" s="2"/>
      <c r="G5" s="2"/>
      <c r="H5" s="131"/>
      <c r="I5" s="2"/>
      <c r="J5" s="131"/>
      <c r="K5" s="131"/>
      <c r="L5" s="131"/>
      <c r="M5" s="461"/>
      <c r="Q5" s="151" t="s">
        <v>438</v>
      </c>
    </row>
    <row r="6" spans="1:31" ht="15" customHeight="1">
      <c r="A6" s="45"/>
      <c r="B6" s="678" t="s">
        <v>474</v>
      </c>
      <c r="C6" s="679"/>
      <c r="D6" s="679"/>
      <c r="E6" s="679"/>
      <c r="F6" s="679"/>
      <c r="G6" s="679"/>
      <c r="H6" s="132"/>
      <c r="I6" s="420"/>
      <c r="J6" s="420"/>
      <c r="K6" s="420"/>
      <c r="L6" s="420"/>
      <c r="M6" s="420"/>
      <c r="N6" s="420"/>
      <c r="O6" s="420"/>
      <c r="Q6" s="544" t="s">
        <v>937</v>
      </c>
    </row>
    <row r="7" spans="1:31" ht="17.25" customHeight="1">
      <c r="A7" s="46"/>
      <c r="B7" s="459">
        <v>1</v>
      </c>
      <c r="C7" s="22"/>
      <c r="D7" s="460">
        <v>2</v>
      </c>
      <c r="E7" s="22"/>
      <c r="F7" s="460">
        <v>3</v>
      </c>
      <c r="G7" s="22"/>
      <c r="H7" s="460">
        <v>4</v>
      </c>
      <c r="I7" s="66"/>
      <c r="J7" s="460">
        <v>5</v>
      </c>
      <c r="K7" s="66"/>
      <c r="L7" s="460">
        <v>6</v>
      </c>
      <c r="M7" s="462"/>
      <c r="N7" s="460" t="s">
        <v>425</v>
      </c>
      <c r="O7" s="66"/>
      <c r="P7" s="485"/>
      <c r="Q7" s="37"/>
      <c r="R7" s="37" t="s">
        <v>939</v>
      </c>
      <c r="S7" s="37"/>
      <c r="T7" s="553">
        <v>2</v>
      </c>
      <c r="U7" s="37"/>
      <c r="V7" s="553">
        <v>3</v>
      </c>
      <c r="W7" s="37"/>
      <c r="X7" s="553">
        <v>4</v>
      </c>
      <c r="Y7" s="37"/>
      <c r="Z7" s="553">
        <v>5</v>
      </c>
      <c r="AA7" s="37"/>
      <c r="AB7" s="553">
        <v>6</v>
      </c>
      <c r="AC7" s="37"/>
      <c r="AD7" s="553" t="s">
        <v>32</v>
      </c>
      <c r="AE7" s="37"/>
    </row>
    <row r="8" spans="1:31" ht="77.25" customHeight="1">
      <c r="A8" s="458"/>
      <c r="B8" s="464" t="s">
        <v>670</v>
      </c>
      <c r="C8" s="421" t="s">
        <v>93</v>
      </c>
      <c r="D8" s="465" t="s">
        <v>670</v>
      </c>
      <c r="E8" s="421" t="s">
        <v>93</v>
      </c>
      <c r="F8" s="465" t="s">
        <v>670</v>
      </c>
      <c r="G8" s="421" t="s">
        <v>93</v>
      </c>
      <c r="H8" s="465" t="s">
        <v>670</v>
      </c>
      <c r="I8" s="421" t="s">
        <v>93</v>
      </c>
      <c r="J8" s="465" t="s">
        <v>670</v>
      </c>
      <c r="K8" s="421" t="s">
        <v>93</v>
      </c>
      <c r="L8" s="465" t="s">
        <v>670</v>
      </c>
      <c r="M8" s="145" t="s">
        <v>93</v>
      </c>
      <c r="N8" s="465" t="s">
        <v>670</v>
      </c>
      <c r="O8" s="421" t="s">
        <v>93</v>
      </c>
      <c r="P8" s="43"/>
      <c r="Q8" s="551"/>
      <c r="R8" s="552" t="s">
        <v>932</v>
      </c>
      <c r="S8" s="552" t="s">
        <v>33</v>
      </c>
      <c r="T8" s="554" t="s">
        <v>932</v>
      </c>
      <c r="U8" s="552" t="s">
        <v>33</v>
      </c>
      <c r="V8" s="554" t="s">
        <v>932</v>
      </c>
      <c r="W8" s="552" t="s">
        <v>33</v>
      </c>
      <c r="X8" s="554" t="s">
        <v>932</v>
      </c>
      <c r="Y8" s="552" t="s">
        <v>33</v>
      </c>
      <c r="Z8" s="554" t="s">
        <v>932</v>
      </c>
      <c r="AA8" s="552" t="s">
        <v>33</v>
      </c>
      <c r="AB8" s="554" t="s">
        <v>932</v>
      </c>
      <c r="AC8" s="552" t="s">
        <v>33</v>
      </c>
      <c r="AD8" s="554" t="s">
        <v>932</v>
      </c>
      <c r="AE8" s="552" t="s">
        <v>33</v>
      </c>
    </row>
    <row r="9" spans="1:31" ht="15" customHeight="1">
      <c r="A9" s="1" t="s">
        <v>476</v>
      </c>
      <c r="B9" s="483">
        <f>+GETPIVOTDATA("Undergrad Student Credit Hour FTE - New",'FTE Pivot for regular counts'!$A$2,"Category",1,"Category2","Group1")</f>
        <v>728592.80999999994</v>
      </c>
      <c r="C9" s="422">
        <f>+GETPIVOTDATA("Sum of New-HS % of Total",'Pivot-HS Student % of Undergrad'!$A$3,"Category",1,"Category2","Four-Year")</f>
        <v>8.1559849695250102E-4</v>
      </c>
      <c r="D9" s="484">
        <f>+GETPIVOTDATA("Undergrad Student Credit Hour FTE - New",'FTE Pivot for regular counts'!$A$2,"Category",2,"Category2","Four-Year")</f>
        <v>217417.64444444448</v>
      </c>
      <c r="E9" s="422">
        <f>+GETPIVOTDATA("Sum of New-HS % of Total",'Pivot-HS Student % of Undergrad'!$A$3,"Category",2,"Category2","Four-Year")</f>
        <v>6.0636189057534061E-3</v>
      </c>
      <c r="F9" s="456">
        <f>+GETPIVOTDATA("Undergrad Student Credit Hour FTE - New",'FTE Pivot for regular counts'!$A$2,"Category",3,"Category2","Four-Year")</f>
        <v>502421.68333333335</v>
      </c>
      <c r="G9" s="422">
        <f>+GETPIVOTDATA("Sum of New-HS % of Total",'Pivot-HS Student % of Undergrad'!$A$3,"Category",3,"Category2","Four-Year")</f>
        <v>5.7981153180231455E-3</v>
      </c>
      <c r="H9" s="456">
        <f>+GETPIVOTDATA("Undergrad Student Credit Hour FTE - New",'FTE Pivot for regular counts'!$A$2,"Category",4,"Category2","Four-Year")</f>
        <v>199837.06333333335</v>
      </c>
      <c r="I9" s="422">
        <f>+GETPIVOTDATA("Sum of New-HS % of Total",'Pivot-HS Student % of Undergrad'!$A$3,"Category",4,"Category2","Four-Year")</f>
        <v>1.0054027359174756E-2</v>
      </c>
      <c r="J9" s="456">
        <f>+GETPIVOTDATA("Undergrad Student Credit Hour FTE - New",'FTE Pivot for regular counts'!$A$2,"Category",5,"Category2","Four-Year")</f>
        <v>103510.84999999999</v>
      </c>
      <c r="K9" s="422">
        <f>+GETPIVOTDATA("Sum of New-HS % of Total",'Pivot-HS Student % of Undergrad'!$A$3,"Category",5,"Category2","Four-Year")</f>
        <v>6.8835873171661927E-3</v>
      </c>
      <c r="L9" s="456">
        <f>+GETPIVOTDATA("Undergrad Student Credit Hour FTE - New",'FTE Pivot for regular counts'!$A$2,"Category",6,"Category2","Four-Year")</f>
        <v>63910.521666666667</v>
      </c>
      <c r="M9" s="422">
        <f>+GETPIVOTDATA("Sum of New-HS % of Total",'Pivot-HS Student % of Undergrad'!$A$3,"Category",6,"Category2","Four-Year")</f>
        <v>1.3027040570288379E-2</v>
      </c>
      <c r="N9" s="456">
        <f>+GETPIVOTDATA("Undergrad Student Credit Hour FTE - New",'FTE Pivot for regular counts'!$A$2,"Category2","Four-Year")</f>
        <v>1815690.5727777779</v>
      </c>
      <c r="O9" s="422">
        <f>+GETPIVOTDATA("Sum of New-HS % of Total",'Pivot-HS Student % of Undergrad'!$A$3,"Category2","Group1")</f>
        <v>4.6052366845686426E-3</v>
      </c>
      <c r="Q9" s="1" t="s">
        <v>476</v>
      </c>
      <c r="R9" s="558">
        <f>+GETPIVOTDATA("Sum of Old-HS % of Total",'Pivot-HS Student % of Undergrad'!$A$3,"Category",1,"Category2","Four-Year")</f>
        <v>7.0010334958131983E-4</v>
      </c>
      <c r="S9" s="547" t="e">
        <f>+'Pivot-HS Student % of Undergrad'!W125*100</f>
        <v>#VALUE!</v>
      </c>
      <c r="T9" s="556">
        <f>+GETPIVOTDATA("Sum of Old-HS % of Total",'Pivot-HS Student % of Undergrad'!$A$3,"Category",2,"Category2","Four-Year")</f>
        <v>4.3270291101877587E-3</v>
      </c>
      <c r="U9" s="546" t="e">
        <f>+'Pivot-HS Student % of Undergrad'!X125*100</f>
        <v>#VALUE!</v>
      </c>
      <c r="V9" s="556">
        <f>+GETPIVOTDATA("Sum of Old-HS % of Total",'Pivot-HS Student % of Undergrad'!$A$3,"Category",3,"Category2","Four-Year")</f>
        <v>4.4211936515468194E-3</v>
      </c>
      <c r="W9" s="546" t="e">
        <f>+'Pivot-HS Student % of Undergrad'!Y125*100</f>
        <v>#VALUE!</v>
      </c>
      <c r="X9" s="556">
        <f>+GETPIVOTDATA("Sum of Old-HS % of Total",'Pivot-HS Student % of Undergrad'!$A$3,"Category",4,"Category2","Four-Year")</f>
        <v>6.7498818651586055E-3</v>
      </c>
      <c r="Y9" s="546" t="e">
        <f>+'Pivot-HS Student % of Undergrad'!Z125*100</f>
        <v>#VALUE!</v>
      </c>
      <c r="Z9" s="556">
        <f>+GETPIVOTDATA("Sum of Old-HS % of Total",'Pivot-HS Student % of Undergrad'!$A$3,"Category",5,"Category2","Four-Year")</f>
        <v>7.3630534046753744E-3</v>
      </c>
      <c r="AA9" s="546" t="e">
        <f>+'Pivot-HS Student % of Undergrad'!AA125*100</f>
        <v>#VALUE!</v>
      </c>
      <c r="AB9" s="556">
        <f>+GETPIVOTDATA("Sum of Old-HS % of Total",'Pivot-HS Student % of Undergrad'!$A$3,"Category",6,"Category2","Four-Year")</f>
        <v>1.3994020693004518E-2</v>
      </c>
      <c r="AC9" s="546" t="e">
        <f>+'Pivot-HS Student % of Undergrad'!AB125*100</f>
        <v>#VALUE!</v>
      </c>
      <c r="AD9" s="556">
        <f>+GETPIVOTDATA("Sum of Old-HS % of Total",'Pivot-HS Student % of Undergrad'!$A$3,"Category2","Four-Year")</f>
        <v>3.5850875690102858E-3</v>
      </c>
      <c r="AE9" s="546" t="e">
        <f>+'Pivot-HS Student % of Undergrad'!AC125*100</f>
        <v>#VALUE!</v>
      </c>
    </row>
    <row r="10" spans="1:31" ht="12.75" customHeight="1">
      <c r="B10" s="5"/>
      <c r="C10" s="422"/>
      <c r="D10" s="456"/>
      <c r="E10" s="422"/>
      <c r="F10" s="456"/>
      <c r="G10" s="422"/>
      <c r="H10" s="456"/>
      <c r="I10" s="422"/>
      <c r="J10" s="456"/>
      <c r="K10" s="422"/>
      <c r="L10" s="456"/>
      <c r="M10" s="422"/>
      <c r="N10" s="456"/>
      <c r="O10" s="422"/>
      <c r="R10" s="486"/>
      <c r="S10" s="546"/>
      <c r="T10" s="556"/>
      <c r="U10" s="546"/>
      <c r="V10" s="556"/>
      <c r="W10" s="546"/>
      <c r="X10" s="556"/>
      <c r="Y10" s="546"/>
      <c r="Z10" s="556"/>
      <c r="AA10" s="546"/>
      <c r="AB10" s="556"/>
      <c r="AC10" s="546"/>
      <c r="AD10" s="556"/>
      <c r="AE10" s="546"/>
    </row>
    <row r="11" spans="1:31" ht="15" customHeight="1">
      <c r="A11" s="1" t="s">
        <v>477</v>
      </c>
      <c r="B11" s="5">
        <f>+GETPIVOTDATA("Undergrad Student Credit Hour FTE - New",'FTE Pivot for regular counts'!$A$2,"State","AL","Category",1,"Category2","Four-Year")</f>
        <v>48838.3</v>
      </c>
      <c r="C11" s="422">
        <f>+GETPIVOTDATA("Sum of New-HS % of Total",'Pivot-HS Student % of Undergrad'!$A$3,"State","AL","Category",1,"Category2","Four-Year")</f>
        <v>0</v>
      </c>
      <c r="D11" s="456">
        <f>+GETPIVOTDATA("Undergrad Student Credit Hour FTE - New",'FTE Pivot for regular counts'!$A$2,"State","AL","Category",2,"Category2","Four-Year")</f>
        <v>4992.8</v>
      </c>
      <c r="E11" s="422">
        <f>+GETPIVOTDATA("Sum of New-HS % of Total",'Pivot-HS Student % of Undergrad'!$A$3,"State","AL","Category",2,"Category2","Four-Year")</f>
        <v>0</v>
      </c>
      <c r="F11" s="456">
        <f>+GETPIVOTDATA("Undergrad Student Credit Hour FTE - New",'FTE Pivot for regular counts'!$A$2,"State","AL","Category",3,"Category2","Four-Year")</f>
        <v>19961.400000000001</v>
      </c>
      <c r="G11" s="422">
        <f>+GETPIVOTDATA("Sum of New-HS % of Total",'Pivot-HS Student % of Undergrad'!$A$3,"State","AL","Category",3,"Category2","Four-Year")</f>
        <v>0</v>
      </c>
      <c r="H11" s="456">
        <f>+GETPIVOTDATA("Undergrad Student Credit Hour FTE - New",'FTE Pivot for regular counts'!$A$2,"State","AL","Category",4,"Category2","Four-Year")</f>
        <v>23703.366666666665</v>
      </c>
      <c r="I11" s="422">
        <f>+GETPIVOTDATA("Sum of New-HS % of Total",'Pivot-HS Student % of Undergrad'!$A$3,"State","AL","Category",4,"Category2","Four-Year")</f>
        <v>0</v>
      </c>
      <c r="J11" s="456">
        <f>+GETPIVOTDATA("Undergrad Student Credit Hour FTE - New",'FTE Pivot for regular counts'!$A$2,"State","AL","Category",5,"Category2","Four-Year")</f>
        <v>4048.2666666666669</v>
      </c>
      <c r="K11" s="422">
        <f>+GETPIVOTDATA("Sum of New-HS % of Total",'Pivot-HS Student % of Undergrad'!$A$3,"State","AL","Category",5,"Category2","Four-Year")</f>
        <v>0</v>
      </c>
      <c r="L11" s="456">
        <f>+GETPIVOTDATA("Undergrad Student Credit Hour FTE - New",'FTE Pivot for regular counts'!$A$2,"State","AL","Category",6,"Category2","Four-Year")</f>
        <v>2656.3666666666668</v>
      </c>
      <c r="M11" s="422">
        <f>+GETPIVOTDATA("Sum of New-HS % of Total",'Pivot-HS Student % of Undergrad'!$A$3,"State","AL","Category",6,"Category2","Four-Year")</f>
        <v>0</v>
      </c>
      <c r="N11" s="456">
        <f>+GETPIVOTDATA("Undergrad Student Credit Hour FTE - New",'FTE Pivot for regular counts'!$A$2,"State","AL","Category2","Four-Year")</f>
        <v>104200.5</v>
      </c>
      <c r="O11" s="422">
        <f>+GETPIVOTDATA("Sum of New-HS % of Total",'Pivot-HS Student % of Undergrad'!$A$3,"State","AL","Category2","Group1")</f>
        <v>0</v>
      </c>
      <c r="Q11" s="1" t="s">
        <v>477</v>
      </c>
      <c r="R11" s="486">
        <f>+GETPIVOTDATA("Sum of Old-HS % of Total",'Pivot-HS Student % of Undergrad'!$A$3,"State","AL","Category",1,"Category2","Four-Year")</f>
        <v>0</v>
      </c>
      <c r="S11" s="546" t="e">
        <f>+'Pivot-HS Student % of Undergrad'!W12*100</f>
        <v>#VALUE!</v>
      </c>
      <c r="T11" s="556">
        <f>+GETPIVOTDATA("Sum of Old-HS % of Total",'Pivot-HS Student % of Undergrad'!$A$3,"State","AL","Category",2,"Category2","Four-Year")</f>
        <v>0</v>
      </c>
      <c r="U11" s="546" t="e">
        <f>+'Pivot-HS Student % of Undergrad'!X12*100</f>
        <v>#VALUE!</v>
      </c>
      <c r="V11" s="556">
        <f>+GETPIVOTDATA("Sum of Old-HS % of Total",'Pivot-HS Student % of Undergrad'!$A$3,"State","AL","Category",4,"Category2","Four-Year")</f>
        <v>0</v>
      </c>
      <c r="W11" s="546" t="e">
        <f>+'Pivot-HS Student % of Undergrad'!Y12*100</f>
        <v>#VALUE!</v>
      </c>
      <c r="X11" s="556">
        <f>+GETPIVOTDATA("Sum of Old-HS % of Total",'Pivot-HS Student % of Undergrad'!$A$3,"State","AL","Category",4,"Category2","Four-Year")</f>
        <v>0</v>
      </c>
      <c r="Y11" s="546" t="e">
        <f>+'Pivot-HS Student % of Undergrad'!Z12*100</f>
        <v>#VALUE!</v>
      </c>
      <c r="Z11" s="556">
        <f>+GETPIVOTDATA("Sum of Old-HS % of Total",'Pivot-HS Student % of Undergrad'!$A$3,"State","AL","Category",5,"Category2","Four-Year")</f>
        <v>0</v>
      </c>
      <c r="AA11" s="546" t="e">
        <f>+'Pivot-HS Student % of Undergrad'!AA12*100</f>
        <v>#VALUE!</v>
      </c>
      <c r="AB11" s="556">
        <f>+GETPIVOTDATA("Sum of Old-HS % of Total",'Pivot-HS Student % of Undergrad'!$A$3,"State","AL","Category",6,"Category2","Four-Year")</f>
        <v>0</v>
      </c>
      <c r="AC11" s="546" t="e">
        <f>+'Pivot-HS Student % of Undergrad'!AB12*100</f>
        <v>#VALUE!</v>
      </c>
      <c r="AD11" s="556">
        <f>+GETPIVOTDATA("Sum of Old-HS % of Total",'Pivot-HS Student % of Undergrad'!$A$3,"State","AL","Category2","Four-Year")</f>
        <v>0</v>
      </c>
      <c r="AE11" s="546" t="e">
        <f>+'Pivot-HS Student % of Undergrad'!AB12*100</f>
        <v>#VALUE!</v>
      </c>
    </row>
    <row r="12" spans="1:31" ht="15" customHeight="1">
      <c r="A12" s="4" t="s">
        <v>478</v>
      </c>
      <c r="B12" s="5">
        <f>+GETPIVOTDATA("Undergrad Student Credit Hour FTE - New",'FTE Pivot for regular counts'!$A$2,"State","AR","Category",1,"Category2","Four-Year")</f>
        <v>14281.666666666666</v>
      </c>
      <c r="C12" s="487">
        <f>+GETPIVOTDATA("Sum of New-HS % of Total",'Pivot-HS Student % of Undergrad'!$A$3,"State","AR","Category",1,"Category2","Four-Year")</f>
        <v>2.3573345781304704E-4</v>
      </c>
      <c r="D12" s="456">
        <f>+GETPIVOTDATA("Undergrad Student Credit Hour FTE - New",'FTE Pivot for regular counts'!$A$2,"State","AR","Category",2,"Category2","Four-Year")</f>
        <v>0</v>
      </c>
      <c r="E12" s="422">
        <f>+GETPIVOTDATA("Sum of New-HS % of Total",'Pivot-HS Student % of Undergrad'!$A$3,"State","AR","Category",2,"Category2","Four-Year")</f>
        <v>0</v>
      </c>
      <c r="F12" s="456">
        <f>+GETPIVOTDATA("Undergrad Student Credit Hour FTE - New",'FTE Pivot for regular counts'!$A$2,"State","AR","Category",3,"Category2","Four-Year")</f>
        <v>25614.033333333333</v>
      </c>
      <c r="G12" s="422">
        <f>+GETPIVOTDATA("Sum of New-HS % of Total",'Pivot-HS Student % of Undergrad'!$A$3,"State","AR","Category",3,"Category2","Four-Year")</f>
        <v>2.5497741472448047E-2</v>
      </c>
      <c r="H12" s="456">
        <f>+GETPIVOTDATA("Undergrad Student Credit Hour FTE - New",'FTE Pivot for regular counts'!$A$2,"State","AR","Category",4,"Category2","Four-Year")</f>
        <v>9335.5333333333328</v>
      </c>
      <c r="I12" s="422">
        <f>+GETPIVOTDATA("Sum of New-HS % of Total",'Pivot-HS Student % of Undergrad'!$A$3,"State","AR","Category",4,"Category2","Four-Year")</f>
        <v>9.5084730027921987E-3</v>
      </c>
      <c r="J12" s="456">
        <f>+GETPIVOTDATA("Undergrad Student Credit Hour FTE - New",'FTE Pivot for regular counts'!$A$2,"State","AR","Category",5,"Category2","Four-Year")</f>
        <v>5153.6000000000004</v>
      </c>
      <c r="K12" s="422">
        <f>+GETPIVOTDATA("Sum of New-HS % of Total",'Pivot-HS Student % of Undergrad'!$A$3,"State","AR","Category",5,"Category2","Four-Year")</f>
        <v>2.7029649177274139E-2</v>
      </c>
      <c r="L12" s="456">
        <f>+GETPIVOTDATA("Undergrad Student Credit Hour FTE - New",'FTE Pivot for regular counts'!$A$2,"State","AR","Category",6,"Category2","Four-Year")</f>
        <v>8373.9</v>
      </c>
      <c r="M12" s="422">
        <f>+GETPIVOTDATA("Sum of New-HS % of Total",'Pivot-HS Student % of Undergrad'!$A$3,"State","AR","Category",6,"Category2","Four-Year")</f>
        <v>2.9185922927190439E-2</v>
      </c>
      <c r="N12" s="456">
        <f>+GETPIVOTDATA("Undergrad Student Credit Hour FTE - New",'FTE Pivot for regular counts'!$A$2,"State","AR","Category2","Four-Year")</f>
        <v>62758.73333333333</v>
      </c>
      <c r="O12" s="422">
        <f>+GETPIVOTDATA("Sum of New-HS % of Total",'Pivot-HS Student % of Undergrad'!$A$3,"State","AR","Category2","Group1")</f>
        <v>1.7988465881508126E-2</v>
      </c>
      <c r="Q12" s="4" t="s">
        <v>478</v>
      </c>
      <c r="R12" s="642">
        <f>+GETPIVOTDATA("Sum of Old-HS % of Total",'Pivot-HS Student % of Undergrad'!$A$3,"State","AR","Category",1,"Category2","Four-Year")</f>
        <v>3.8769235270738492E-4</v>
      </c>
      <c r="S12" s="547">
        <f>+'Pivot-HS Student % of Undergrad'!W19*100</f>
        <v>-1.5195889489433789E-2</v>
      </c>
      <c r="T12" s="556">
        <f>+GETPIVOTDATA("Sum of Old-HS % of Total",'Pivot-HS Student % of Undergrad'!$A$3,"State","AR","Category",2,"Category2","Four-Year")</f>
        <v>0</v>
      </c>
      <c r="U12" s="546" t="e">
        <f>+'Pivot-HS Student % of Undergrad'!X19*100</f>
        <v>#VALUE!</v>
      </c>
      <c r="V12" s="556">
        <f>+GETPIVOTDATA("Sum of Old-HS % of Total",'Pivot-HS Student % of Undergrad'!$A$3,"State","AR","Category",3,"Category2","Four-Year")</f>
        <v>1.6774012108723563E-2</v>
      </c>
      <c r="W12" s="546">
        <f>+'Pivot-HS Student % of Undergrad'!Y19*100</f>
        <v>0.87237293637244839</v>
      </c>
      <c r="X12" s="556">
        <f>+GETPIVOTDATA("Sum of Old-HS % of Total",'Pivot-HS Student % of Undergrad'!$A$3,"State","AR","Category",4,"Category2","Four-Year")</f>
        <v>6.0634770251065846E-3</v>
      </c>
      <c r="Y12" s="546">
        <f>+'Pivot-HS Student % of Undergrad'!Z19*100</f>
        <v>0.34449959776856143</v>
      </c>
      <c r="Z12" s="556">
        <f>+GETPIVOTDATA("Sum of Old-HS % of Total",'Pivot-HS Student % of Undergrad'!$A$3,"State","AR","Category",5,"Category2","Four-Year")</f>
        <v>2.5857496181449835E-2</v>
      </c>
      <c r="AA12" s="546">
        <f>+'Pivot-HS Student % of Undergrad'!AA19*100</f>
        <v>0.11721529958243042</v>
      </c>
      <c r="AB12" s="556">
        <f>+GETPIVOTDATA("Sum of Old-HS % of Total",'Pivot-HS Student % of Undergrad'!$A$3,"State","AR","Category",6,"Category2","Four-Year")</f>
        <v>3.1278477062311454E-2</v>
      </c>
      <c r="AC12" s="546">
        <f>+'Pivot-HS Student % of Undergrad'!AB19*100</f>
        <v>-0.2092554135121015</v>
      </c>
      <c r="AD12" s="556">
        <f>+GETPIVOTDATA("Sum of Old-HS % of Total",'Pivot-HS Student % of Undergrad'!$A$3,"State","AR","Category2","Four-Year")</f>
        <v>1.4194321619987342E-2</v>
      </c>
      <c r="AE12" s="546">
        <f>+'Pivot-HS Student % of Undergrad'!AC19*100</f>
        <v>0.37941442615207832</v>
      </c>
    </row>
    <row r="13" spans="1:31" ht="15" customHeight="1">
      <c r="A13" s="1" t="s">
        <v>515</v>
      </c>
      <c r="B13" s="5">
        <f>+GETPIVOTDATA("Undergrad Student Credit Hour FTE - New",'FTE Pivot for regular counts'!$A$2,"State","DE","Category",1,"Category2","Four-Year")</f>
        <v>16836.933333333334</v>
      </c>
      <c r="C13" s="422">
        <f>+GETPIVOTDATA("Sum of New-HS % of Total",'Pivot-HS Student % of Undergrad'!$A$3,"State","DE","Category",1,"Category2","Four-Year")</f>
        <v>0</v>
      </c>
      <c r="D13" s="456">
        <f>+GETPIVOTDATA("Undergrad Student Credit Hour FTE - New",'FTE Pivot for regular counts'!$A$2,"State","DE","Category",2,"Category2","Four-Year")</f>
        <v>0</v>
      </c>
      <c r="E13" s="422">
        <f>+GETPIVOTDATA("Sum of New-HS % of Total",'Pivot-HS Student % of Undergrad'!$A$3,"State","DE","Category",2,"Category2","Four-Year")</f>
        <v>0</v>
      </c>
      <c r="F13" s="456">
        <f>+GETPIVOTDATA("Undergrad Student Credit Hour FTE - New",'FTE Pivot for regular counts'!$A$2,"State","DE","Category",3,"Category2","Four-Year")</f>
        <v>0</v>
      </c>
      <c r="G13" s="422">
        <f>+GETPIVOTDATA("Sum of New-HS % of Total",'Pivot-HS Student % of Undergrad'!$A$3,"State","DE","Category",3,"Category2","Four-Year")</f>
        <v>0</v>
      </c>
      <c r="H13" s="456">
        <f>+GETPIVOTDATA("Undergrad Student Credit Hour FTE - New",'FTE Pivot for regular counts'!$A$2,"State","DE","Category",4,"Category2","Four-Year")</f>
        <v>3219.4333333333334</v>
      </c>
      <c r="I13" s="422">
        <f>+GETPIVOTDATA("Sum of New-HS % of Total",'Pivot-HS Student % of Undergrad'!$A$3,"State","FL","Category",4,"Category2","Four-Year")</f>
        <v>1.4641618236698652E-3</v>
      </c>
      <c r="J13" s="456">
        <f>+GETPIVOTDATA("Undergrad Student Credit Hour FTE - New",'FTE Pivot for regular counts'!$A$2,"State","DE","Category",5,"Category2","Four-Year")</f>
        <v>0</v>
      </c>
      <c r="K13" s="422">
        <f>+GETPIVOTDATA("Sum of New-HS % of Total",'Pivot-HS Student % of Undergrad'!$A$3,"State","FL","Category",5,"Category2","Four-Year")</f>
        <v>0</v>
      </c>
      <c r="L13" s="456">
        <f>+GETPIVOTDATA("Undergrad Student Credit Hour FTE - New",'FTE Pivot for regular counts'!$A$2,"State","DE","Category",6,"Category2","Four-Year")</f>
        <v>0</v>
      </c>
      <c r="M13" s="422">
        <f>+GETPIVOTDATA("Sum of New-HS % of Total",'Pivot-HS Student % of Undergrad'!$A$3,"State","FL","Category",6,"Category2","Four-Year")</f>
        <v>0</v>
      </c>
      <c r="N13" s="456">
        <f>+GETPIVOTDATA("Undergrad Student Credit Hour FTE - New",'FTE Pivot for regular counts'!$A$2,"State","DE","Category2","Four-Year")</f>
        <v>20056.366666666669</v>
      </c>
      <c r="O13" s="422">
        <f>+GETPIVOTDATA("Sum of New-HS % of Total",'Pivot-HS Student % of Undergrad'!$A$3,"State","DE","Category2","Group1")</f>
        <v>0</v>
      </c>
      <c r="Q13" s="1" t="s">
        <v>515</v>
      </c>
      <c r="R13" s="486">
        <f>+GETPIVOTDATA("Sum of Old-HS % of Total",'Pivot-HS Student % of Undergrad'!$A$3,"State","DE","Category",1,"Category2","Four-Year")</f>
        <v>0</v>
      </c>
      <c r="S13" s="546" t="e">
        <f>+'Pivot-HS Student % of Undergrad'!W26*100</f>
        <v>#VALUE!</v>
      </c>
      <c r="T13" s="556">
        <f>+GETPIVOTDATA("Sum of Old-HS % of Total",'Pivot-HS Student % of Undergrad'!$A$3,"State","DE","Category",2,"Category2","Four-Year")</f>
        <v>0</v>
      </c>
      <c r="U13" s="546" t="e">
        <f>+'Pivot-HS Student % of Undergrad'!X26*100</f>
        <v>#VALUE!</v>
      </c>
      <c r="V13" s="556">
        <f>+GETPIVOTDATA("Sum of Old-HS % of Total",'Pivot-HS Student % of Undergrad'!$A$3,"State","DE","Category",3,"Category2","Four-Year")</f>
        <v>0</v>
      </c>
      <c r="W13" s="546" t="e">
        <f>+'Pivot-HS Student % of Undergrad'!Y26*100</f>
        <v>#VALUE!</v>
      </c>
      <c r="X13" s="556">
        <f>+GETPIVOTDATA("Sum of Old-HS % of Total",'Pivot-HS Student % of Undergrad'!$A$3,"State","DE","Category",4,"Category2","Four-Year")</f>
        <v>0</v>
      </c>
      <c r="Y13" s="546" t="e">
        <f>+'Pivot-HS Student % of Undergrad'!Z26*100</f>
        <v>#VALUE!</v>
      </c>
      <c r="Z13" s="556">
        <f>+GETPIVOTDATA("Sum of Old-HS % of Total",'Pivot-HS Student % of Undergrad'!$A$3,"State","DE","Category",5,"Category2","Four-Year")</f>
        <v>0</v>
      </c>
      <c r="AA13" s="546" t="e">
        <f>+'Pivot-HS Student % of Undergrad'!AA26*100</f>
        <v>#VALUE!</v>
      </c>
      <c r="AB13" s="556">
        <f>+GETPIVOTDATA("Sum of Old-HS % of Total",'Pivot-HS Student % of Undergrad'!$A$3,"State","DE","Category",6,"Category2","Four-Year")</f>
        <v>0</v>
      </c>
      <c r="AC13" s="546" t="e">
        <f>+'Pivot-HS Student % of Undergrad'!AB26*100</f>
        <v>#VALUE!</v>
      </c>
      <c r="AD13" s="556">
        <f>+GETPIVOTDATA("Sum of Old-HS % of Total",'Pivot-HS Student % of Undergrad'!$A$3,"State","DE","Category2","Four-Year")</f>
        <v>0</v>
      </c>
      <c r="AE13" s="546" t="e">
        <f>+'Pivot-HS Student % of Undergrad'!AC26*100</f>
        <v>#VALUE!</v>
      </c>
    </row>
    <row r="14" spans="1:31" ht="15" customHeight="1">
      <c r="A14" s="1" t="s">
        <v>479</v>
      </c>
      <c r="B14" s="5">
        <f>+GETPIVOTDATA("Undergrad Student Credit Hour FTE - New",'FTE Pivot for regular counts'!$A$2,"State","FL","Category",1,"Category2","Four-Year")</f>
        <v>132985.93333333332</v>
      </c>
      <c r="C14" s="422">
        <f>+GETPIVOTDATA("Sum of New-HS % of Total",'Pivot-HS Student % of Undergrad'!$A$3,"State","FL","Category",1,"Category2","Four-Year")</f>
        <v>1.4184457604287971E-3</v>
      </c>
      <c r="D14" s="456">
        <f>+GETPIVOTDATA("Undergrad Student Credit Hour FTE - New",'FTE Pivot for regular counts'!$A$2,"State","FL","Category",2,"Category2","Four-Year")</f>
        <v>43865.066666666666</v>
      </c>
      <c r="E14" s="422">
        <f>+GETPIVOTDATA("Sum of New-HS % of Total",'Pivot-HS Student % of Undergrad'!$A$3,"State","FL","Category",2,"Category2","Four-Year")</f>
        <v>6.7950806716354393E-3</v>
      </c>
      <c r="F14" s="456">
        <f>+GETPIVOTDATA("Undergrad Student Credit Hour FTE - New",'FTE Pivot for regular counts'!$A$2,"State","FL","Category",3,"Category2","Four-Year")</f>
        <v>28427.399999999998</v>
      </c>
      <c r="G14" s="422">
        <f>+GETPIVOTDATA("Sum of New-HS % of Total",'Pivot-HS Student % of Undergrad'!$A$3,"State","FL","Category",3,"Category2","Four-Year")</f>
        <v>1.4410979078869916E-3</v>
      </c>
      <c r="H14" s="456">
        <f>+GETPIVOTDATA("Undergrad Student Credit Hour FTE - New",'FTE Pivot for regular counts'!$A$2,"State","FL","Category",4,"Category2","Four-Year")</f>
        <v>7399</v>
      </c>
      <c r="I14" s="422">
        <f>+GETPIVOTDATA("Sum of New-HS % of Total",'Pivot-HS Student % of Undergrad'!$A$3,"State","FL","Category",4,"Category2","Four-Year")</f>
        <v>1.4641618236698652E-3</v>
      </c>
      <c r="J14" s="456">
        <f>+GETPIVOTDATA("Undergrad Student Credit Hour FTE - New",'FTE Pivot for regular counts'!$A$2,"State","FL","Category",5,"Category2","Four-Year")</f>
        <v>0</v>
      </c>
      <c r="K14" s="422">
        <f>+GETPIVOTDATA("Sum of New-HS % of Total",'Pivot-HS Student % of Undergrad'!$A$3,"State","FL","Category",5,"Category2","Four-Year")</f>
        <v>0</v>
      </c>
      <c r="L14" s="456">
        <f>+GETPIVOTDATA("Undergrad Student Credit Hour FTE - New",'FTE Pivot for regular counts'!$A$2,"State","FL","Category",6,"Category2","Four-Year")</f>
        <v>892.8</v>
      </c>
      <c r="M14" s="422">
        <f>+GETPIVOTDATA("Sum of New-HS % of Total",'Pivot-HS Student % of Undergrad'!$A$3,"State","FL","Category",6,"Category2","Four-Year")</f>
        <v>0</v>
      </c>
      <c r="N14" s="456">
        <f>+GETPIVOTDATA("Undergrad Student Credit Hour FTE - New",'FTE Pivot for regular counts'!$A$2,"State","FL","Category2","Four-Year")</f>
        <v>213570.19999999998</v>
      </c>
      <c r="O14" s="422">
        <f>+GETPIVOTDATA("Sum of New-HS % of Total",'Pivot-HS Student % of Undergrad'!$A$3,"State","FL","Category2","Group1")</f>
        <v>2.5214191867592014E-3</v>
      </c>
      <c r="Q14" s="1" t="s">
        <v>479</v>
      </c>
      <c r="R14" s="486">
        <f>+GETPIVOTDATA("Sum of Old-HS % of Total",'Pivot-HS Student % of Undergrad'!$A$3,"State","FL","Category",1,"Category2","Four-Year")</f>
        <v>1.2882870164087489E-3</v>
      </c>
      <c r="S14" s="547">
        <f>+'Pivot-HS Student % of Undergrad'!W33*100</f>
        <v>1.3015874402004827E-2</v>
      </c>
      <c r="T14" s="556">
        <f>+GETPIVOTDATA("Sum of Old-HS % of Total",'Pivot-HS Student % of Undergrad'!$A$3,"State","FL","Category",2,"Category2","Four-Year")</f>
        <v>7.874097458541094E-3</v>
      </c>
      <c r="U14" s="546">
        <f>+'Pivot-HS Student % of Undergrad'!X33*100</f>
        <v>-0.10790167869056547</v>
      </c>
      <c r="V14" s="556">
        <f>+GETPIVOTDATA("Sum of Old-HS % of Total",'Pivot-HS Student % of Undergrad'!$A$3,"State","FL","Category",3,"Category2","Four-Year")</f>
        <v>1.4106357088069575E-3</v>
      </c>
      <c r="W14" s="560">
        <f>+'Pivot-HS Student % of Undergrad'!Y33*100</f>
        <v>3.0462199080034122E-3</v>
      </c>
      <c r="X14" s="556">
        <f>+GETPIVOTDATA("Sum of Old-HS % of Total",'Pivot-HS Student % of Undergrad'!$A$3,"State","FL","Category",4,"Category2","Four-Year")</f>
        <v>9.7455003197742291E-4</v>
      </c>
      <c r="Y14" s="547">
        <f>+'Pivot-HS Student % of Undergrad'!Z33*100</f>
        <v>4.896117916924423E-2</v>
      </c>
      <c r="Z14" s="556">
        <f>+GETPIVOTDATA("Sum of Old-HS % of Total",'Pivot-HS Student % of Undergrad'!$A$3,"State","FL","Category",5,"Category2","Four-Year")</f>
        <v>0</v>
      </c>
      <c r="AA14" s="547" t="e">
        <f>+'Pivot-HS Student % of Undergrad'!AA33*100</f>
        <v>#VALUE!</v>
      </c>
      <c r="AB14" s="556">
        <f>+GETPIVOTDATA("Sum of Old-HS % of Total",'Pivot-HS Student % of Undergrad'!$A$3,"State","FL","Category",6,"Category2","Four-Year")</f>
        <v>0</v>
      </c>
      <c r="AC14" s="547" t="e">
        <f>+'Pivot-HS Student % of Undergrad'!AB33*100</f>
        <v>#VALUE!</v>
      </c>
      <c r="AD14" s="556">
        <f>+GETPIVOTDATA("Sum of Old-HS % of Total",'Pivot-HS Student % of Undergrad'!$A$3,"State","FL","Category2","Four-Year")</f>
        <v>2.6910718574214435E-3</v>
      </c>
      <c r="AE14" s="547">
        <f>+'Pivot-HS Student % of Undergrad'!AC33*100</f>
        <v>-1.6965267066224206E-2</v>
      </c>
    </row>
    <row r="15" spans="1:31" ht="15" customHeight="1">
      <c r="B15" s="5"/>
      <c r="C15" s="422"/>
      <c r="D15" s="456"/>
      <c r="E15" s="422"/>
      <c r="F15" s="456"/>
      <c r="G15" s="422"/>
      <c r="H15" s="456"/>
      <c r="I15" s="422"/>
      <c r="J15" s="456"/>
      <c r="K15" s="422"/>
      <c r="L15" s="456"/>
      <c r="M15" s="422"/>
      <c r="N15" s="456"/>
      <c r="O15" s="422"/>
      <c r="R15" s="486"/>
      <c r="S15" s="547"/>
      <c r="T15" s="556"/>
      <c r="U15" s="546"/>
      <c r="V15" s="556"/>
      <c r="W15" s="560"/>
      <c r="X15" s="556"/>
      <c r="Y15" s="547"/>
      <c r="Z15" s="556"/>
      <c r="AA15" s="547"/>
      <c r="AB15" s="556"/>
      <c r="AC15" s="547"/>
      <c r="AD15" s="556"/>
      <c r="AE15" s="547"/>
    </row>
    <row r="16" spans="1:31" ht="15" customHeight="1">
      <c r="A16" s="1" t="s">
        <v>480</v>
      </c>
      <c r="B16" s="5">
        <f>+GETPIVOTDATA("Undergrad Student Credit Hour FTE - New",'FTE Pivot for regular counts'!$A$2,"State","GA","Category",1,"Category2","Four-Year")</f>
        <v>43268.526666666672</v>
      </c>
      <c r="C16" s="422">
        <f>+GETPIVOTDATA("Sum of New-HS % of Total",'Pivot-HS Student % of Undergrad'!$A$3,"State","GA","Category",1,"Category2","Four-Year")</f>
        <v>1.6439971224657677E-3</v>
      </c>
      <c r="D16" s="456">
        <f>+GETPIVOTDATA("Undergrad Student Credit Hour FTE - New",'FTE Pivot for regular counts'!$A$2,"State","GA","Category",2,"Category2","Four-Year")</f>
        <v>12807.266666666666</v>
      </c>
      <c r="E16" s="422">
        <f>+GETPIVOTDATA("Sum of New-HS % of Total",'Pivot-HS Student % of Undergrad'!$A$3,"State","GA","Category",2,"Category2","Four-Year")</f>
        <v>3.052954312395567E-3</v>
      </c>
      <c r="F16" s="456">
        <f>+GETPIVOTDATA("Undergrad Student Credit Hour FTE - New",'FTE Pivot for regular counts'!$A$2,"State","GA","Category",3,"Category2","Four-Year")</f>
        <v>32486.133333333331</v>
      </c>
      <c r="G16" s="422">
        <f>+GETPIVOTDATA("Sum of New-HS % of Total",'Pivot-HS Student % of Undergrad'!$A$3,"State","GA","Category",3,"Category2","Four-Year")</f>
        <v>5.2165847171716344E-3</v>
      </c>
      <c r="H16" s="456">
        <f>+GETPIVOTDATA("Undergrad Student Credit Hour FTE - New",'FTE Pivot for regular counts'!$A$2,"State","GA","Category",4,"Category2","Four-Year")</f>
        <v>36658.33</v>
      </c>
      <c r="I16" s="422">
        <f>+GETPIVOTDATA("Sum of New-HS % of Total",'Pivot-HS Student % of Undergrad'!$A$3,"State","GA","Category",4,"Category2","Four-Year")</f>
        <v>3.7763131417425E-3</v>
      </c>
      <c r="J16" s="456">
        <f>+GETPIVOTDATA("Undergrad Student Credit Hour FTE - New",'FTE Pivot for regular counts'!$A$2,"State","GA","Category",5,"Category2","Four-Year")</f>
        <v>16893.333333333332</v>
      </c>
      <c r="K16" s="422">
        <f>+GETPIVOTDATA("Sum of New-HS % of Total",'Pivot-HS Student % of Undergrad'!$A$3,"State","GA","Category",5,"Category2","Four-Year")</f>
        <v>3.2596685082872928E-3</v>
      </c>
      <c r="L16" s="456">
        <f>+GETPIVOTDATA("Undergrad Student Credit Hour FTE - New",'FTE Pivot for regular counts'!$A$2,"State","GA","Category",6,"Category2","Four-Year")</f>
        <v>9843.7333333333336</v>
      </c>
      <c r="M16" s="422">
        <f>+GETPIVOTDATA("Sum of New-HS % of Total",'Pivot-HS Student % of Undergrad'!$A$3,"State","GA","Category",6,"Category2","Four-Year")</f>
        <v>1.1489543262718751E-2</v>
      </c>
      <c r="N16" s="456">
        <f>+GETPIVOTDATA("Undergrad Student Credit Hour FTE - New",'FTE Pivot for regular counts'!$A$2,"State","GA","Category2","Four-Year")</f>
        <v>151957.32333333333</v>
      </c>
      <c r="O16" s="422">
        <f>+GETPIVOTDATA("Sum of New-HS % of Total",'Pivot-HS Student % of Undergrad'!$A$3,"State","GA","Category2","Group1")</f>
        <v>3.8583201331724788E-3</v>
      </c>
      <c r="Q16" s="1" t="s">
        <v>480</v>
      </c>
      <c r="R16" s="486">
        <f>+GETPIVOTDATA("Sum of Old-HS % of Total",'Pivot-HS Student % of Undergrad'!$A$3,"State","GA","Category",1,"Category2","Four-Year")</f>
        <v>0</v>
      </c>
      <c r="S16" s="546" t="e">
        <f>+'Pivot-HS Student % of Undergrad'!W40*100</f>
        <v>#VALUE!</v>
      </c>
      <c r="T16" s="556">
        <f>+GETPIVOTDATA("Sum of Old-HS % of Total",'Pivot-HS Student % of Undergrad'!$A$3,"State","GA","Category",2,"Category2","Four-Year")</f>
        <v>0</v>
      </c>
      <c r="U16" s="546" t="e">
        <f>+'Pivot-HS Student % of Undergrad'!X40*100</f>
        <v>#VALUE!</v>
      </c>
      <c r="V16" s="556">
        <f>+GETPIVOTDATA("Sum of Old-HS % of Total",'Pivot-HS Student % of Undergrad'!$A$3,"State","GA","Category",3,"Category2","Four-Year")</f>
        <v>0</v>
      </c>
      <c r="W16" s="546" t="e">
        <f>+'Pivot-HS Student % of Undergrad'!Y40*100</f>
        <v>#VALUE!</v>
      </c>
      <c r="X16" s="556">
        <f>+GETPIVOTDATA("Sum of Old-HS % of Total",'Pivot-HS Student % of Undergrad'!$A$3,"State","GA","Category",4,"Category2","Four-Year")</f>
        <v>0</v>
      </c>
      <c r="Y16" s="546" t="e">
        <f>+'Pivot-HS Student % of Undergrad'!Z40*100</f>
        <v>#VALUE!</v>
      </c>
      <c r="Z16" s="556">
        <f>+GETPIVOTDATA("Sum of Old-HS % of Total",'Pivot-HS Student % of Undergrad'!$A$3,"State","GA","Category",5,"Category2","Four-Year")</f>
        <v>0</v>
      </c>
      <c r="AA16" s="546" t="e">
        <f>+'Pivot-HS Student % of Undergrad'!AA40*100</f>
        <v>#VALUE!</v>
      </c>
      <c r="AB16" s="556">
        <f>+GETPIVOTDATA("Sum of Old-HS % of Total",'Pivot-HS Student % of Undergrad'!$A$3,"State","GA","Category",6,"Category2","Four-Year")</f>
        <v>0</v>
      </c>
      <c r="AC16" s="546" t="e">
        <f>+'Pivot-HS Student % of Undergrad'!AB40*100</f>
        <v>#VALUE!</v>
      </c>
      <c r="AD16" s="556">
        <f>+GETPIVOTDATA("Sum of Old-HS % of Total",'Pivot-HS Student % of Undergrad'!$A$3,"State","GA","Category2","Four-Year")</f>
        <v>0</v>
      </c>
      <c r="AE16" s="546" t="e">
        <f>+'Pivot-HS Student % of Undergrad'!AC40*100</f>
        <v>#VALUE!</v>
      </c>
    </row>
    <row r="17" spans="1:31" ht="15" customHeight="1">
      <c r="A17" s="1" t="s">
        <v>481</v>
      </c>
      <c r="B17" s="5">
        <f>+GETPIVOTDATA("Undergrad Student Credit Hour FTE - New",'FTE Pivot for regular counts'!$A$2,"State","KY","Category",1,"Category2","Four-Year")</f>
        <v>30085.466666666667</v>
      </c>
      <c r="C17" s="422">
        <f>+GETPIVOTDATA("Sum of New-HS % of Total",'Pivot-HS Student % of Undergrad'!$A$3,"State","KY","Category",1,"Category2","Four-Year")</f>
        <v>1.2076705917807491E-3</v>
      </c>
      <c r="D17" s="456">
        <f>+GETPIVOTDATA("Undergrad Student Credit Hour FTE - New",'FTE Pivot for regular counts'!$A$2,"State","KY","Category",2,"Category2","Four-Year")</f>
        <v>0</v>
      </c>
      <c r="E17" s="422">
        <f>+GETPIVOTDATA("Sum of New-HS % of Total",'Pivot-HS Student % of Undergrad'!$A$3,"State","KY","Category",2,"Category2","Four-Year")</f>
        <v>0</v>
      </c>
      <c r="F17" s="456">
        <f>+GETPIVOTDATA("Undergrad Student Credit Hour FTE - New",'FTE Pivot for regular counts'!$A$2,"State","KY","Category",3,"Category2","Four-Year")</f>
        <v>34208.866666666669</v>
      </c>
      <c r="G17" s="422">
        <f>+GETPIVOTDATA("Sum of New-HS % of Total",'Pivot-HS Student % of Undergrad'!$A$3,"State","KY","Category",3,"Category2","Four-Year")</f>
        <v>1.4252640153722329E-2</v>
      </c>
      <c r="H17" s="456">
        <f>+GETPIVOTDATA("Undergrad Student Credit Hour FTE - New",'FTE Pivot for regular counts'!$A$2,"State","KY","Category",4,"Category2","Four-Year")</f>
        <v>17048.400000000001</v>
      </c>
      <c r="I17" s="422">
        <f>+GETPIVOTDATA("Sum of New-HS % of Total",'Pivot-HS Student % of Undergrad'!$A$3,"State","KY","Category",4,"Category2","Four-Year")</f>
        <v>1.1301158270961889E-2</v>
      </c>
      <c r="J17" s="456">
        <f>+GETPIVOTDATA("Undergrad Student Credit Hour FTE - New",'FTE Pivot for regular counts'!$A$2,"State","KY","Category",5,"Category2","Four-Year")</f>
        <v>2077.6</v>
      </c>
      <c r="K17" s="422">
        <f>+GETPIVOTDATA("Sum of New-HS % of Total",'Pivot-HS Student % of Undergrad'!$A$3,"State","KY","Category",5,"Category2","Four-Year")</f>
        <v>1.6044153510460788E-3</v>
      </c>
      <c r="L17" s="456">
        <f>+GETPIVOTDATA("Undergrad Student Credit Hour FTE - New",'FTE Pivot for regular counts'!$A$2,"State","KY","Category",6,"Category2","Four-Year")</f>
        <v>0</v>
      </c>
      <c r="M17" s="422">
        <f>+GETPIVOTDATA("Sum of New-HS % of Total",'Pivot-HS Student % of Undergrad'!$A$3,"State","KY","Category",6,"Category2","Four-Year")</f>
        <v>0</v>
      </c>
      <c r="N17" s="456">
        <f>+GETPIVOTDATA("Undergrad Student Credit Hour FTE - New",'FTE Pivot for regular counts'!$A$2,"State","KY","Category2","Four-Year")</f>
        <v>83420.333333333343</v>
      </c>
      <c r="O17" s="422">
        <f>+GETPIVOTDATA("Sum of New-HS % of Total",'Pivot-HS Student % of Undergrad'!$A$3,"State","KY","Category2","Group1")</f>
        <v>8.6297904987193367E-3</v>
      </c>
      <c r="Q17" s="1" t="s">
        <v>481</v>
      </c>
      <c r="R17" s="486">
        <f>+GETPIVOTDATA("Sum of Old-HS % of Total",'Pivot-HS Student % of Undergrad'!$A$3,"State","KY","Category",1,"Category2","Four-Year")</f>
        <v>1.3489620703606099E-3</v>
      </c>
      <c r="S17" s="547">
        <f>+'Pivot-HS Student % of Undergrad'!W47*100</f>
        <v>-1.4129147857986083E-2</v>
      </c>
      <c r="T17" s="556">
        <f>+GETPIVOTDATA("Sum of Old-HS % of Total",'Pivot-HS Student % of Undergrad'!$A$3,"State","KY","Category",2,"Category2","Four-Year")</f>
        <v>0</v>
      </c>
      <c r="U17" s="546" t="e">
        <f>+'Pivot-HS Student % of Undergrad'!X47*100</f>
        <v>#VALUE!</v>
      </c>
      <c r="V17" s="556">
        <f>+GETPIVOTDATA("Sum of Old-HS % of Total",'Pivot-HS Student % of Undergrad'!$A$3,"State","KY","Category",3,"Category2","Four-Year")</f>
        <v>1.0085999406360175E-2</v>
      </c>
      <c r="W17" s="546">
        <f>+'Pivot-HS Student % of Undergrad'!Y47*100</f>
        <v>0.41666407473621542</v>
      </c>
      <c r="X17" s="556">
        <f>+GETPIVOTDATA("Sum of Old-HS % of Total",'Pivot-HS Student % of Undergrad'!$A$3,"State","KY","Category",4,"Category2","Four-Year")</f>
        <v>9.2549360978118941E-3</v>
      </c>
      <c r="Y17" s="546">
        <f>+'Pivot-HS Student % of Undergrad'!Z47*100</f>
        <v>0.20462221731499947</v>
      </c>
      <c r="Z17" s="556">
        <f>+GETPIVOTDATA("Sum of Old-HS % of Total",'Pivot-HS Student % of Undergrad'!$A$3,"State","KY","Category",5,"Category2","Four-Year")</f>
        <v>1.7175104277418827E-3</v>
      </c>
      <c r="AA17" s="547">
        <f>+'Pivot-HS Student % of Undergrad'!AA47*100</f>
        <v>-1.1309507669580391E-2</v>
      </c>
      <c r="AB17" s="556">
        <f>+GETPIVOTDATA("Sum of Old-HS % of Total",'Pivot-HS Student % of Undergrad'!$A$3,"State","KY","Category",6,"Category2","Four-Year")</f>
        <v>0</v>
      </c>
      <c r="AC17" s="546" t="e">
        <f>+'Pivot-HS Student % of Undergrad'!AB47*100</f>
        <v>#VALUE!</v>
      </c>
      <c r="AD17" s="556">
        <f>+GETPIVOTDATA("Sum of Old-HS % of Total",'Pivot-HS Student % of Undergrad'!$A$3,"State","KY","Category2","Four-Year")</f>
        <v>6.561173292165187E-3</v>
      </c>
      <c r="AE17" s="546">
        <f>+'Pivot-HS Student % of Undergrad'!AC47*100</f>
        <v>0.20686172065541497</v>
      </c>
    </row>
    <row r="18" spans="1:31" ht="15" customHeight="1">
      <c r="A18" s="1" t="s">
        <v>482</v>
      </c>
      <c r="B18" s="5">
        <f>+GETPIVOTDATA("Undergrad Student Credit Hour FTE - New",'FTE Pivot for regular counts'!$A$2,"State","LA","Category",1,"Category2","Four-Year")</f>
        <v>23900.2</v>
      </c>
      <c r="C18" s="487">
        <f>+GETPIVOTDATA("Sum of New-HS % of Total",'Pivot-HS Student % of Undergrad'!$A$3,"State","LA","Category",1,"Category2","Four-Year")</f>
        <v>2.5522798972393536E-4</v>
      </c>
      <c r="D18" s="456">
        <f>+GETPIVOTDATA("Undergrad Student Credit Hour FTE - New",'FTE Pivot for regular counts'!$A$2,"State","LA","Category",2,"Category2","Four-Year")</f>
        <v>26026.111111111113</v>
      </c>
      <c r="E18" s="422">
        <f>+GETPIVOTDATA("Sum of New-HS % of Total",'Pivot-HS Student % of Undergrad'!$A$3,"State","LA","Category",2,"Category2","Four-Year")</f>
        <v>6.4720204288806187E-3</v>
      </c>
      <c r="F18" s="456">
        <f>+GETPIVOTDATA("Undergrad Student Credit Hour FTE - New",'FTE Pivot for regular counts'!$A$2,"State","LA","Category",3,"Category2","Four-Year")</f>
        <v>25767.766666666666</v>
      </c>
      <c r="G18" s="422">
        <f>+GETPIVOTDATA("Sum of New-HS % of Total",'Pivot-HS Student % of Undergrad'!$A$3,"State","LA","Category",3,"Category2","Four-Year")</f>
        <v>1.4644911666125509E-2</v>
      </c>
      <c r="H18" s="456">
        <f>+GETPIVOTDATA("Undergrad Student Credit Hour FTE - New",'FTE Pivot for regular counts'!$A$2,"State","LA","Category",4,"Category2","Four-Year")</f>
        <v>27547.833333333336</v>
      </c>
      <c r="I18" s="422">
        <f>+GETPIVOTDATA("Sum of New-HS % of Total",'Pivot-HS Student % of Undergrad'!$A$3,"State","LA","Category",4,"Category2","Four-Year")</f>
        <v>1.7214904983453024E-2</v>
      </c>
      <c r="J18" s="456">
        <f>+GETPIVOTDATA("Undergrad Student Credit Hour FTE - New",'FTE Pivot for regular counts'!$A$2,"State","LA","Category",5,"Category2","Four-Year")</f>
        <v>2009.7</v>
      </c>
      <c r="K18" s="422">
        <f>+GETPIVOTDATA("Sum of New-HS % of Total",'Pivot-HS Student % of Undergrad'!$A$3,"State","LA","Category",5,"Category2","Four-Year")</f>
        <v>1.8294604501501052E-2</v>
      </c>
      <c r="L18" s="456">
        <f>+GETPIVOTDATA("Undergrad Student Credit Hour FTE - New",'FTE Pivot for regular counts'!$A$2,"State","LA","Category",6,"Category2","Four-Year")</f>
        <v>0</v>
      </c>
      <c r="M18" s="422">
        <f>+GETPIVOTDATA("Sum of New-HS % of Total",'Pivot-HS Student % of Undergrad'!$A$3,"State","LA","Category",6,"Category2","Four-Year")</f>
        <v>0</v>
      </c>
      <c r="N18" s="456">
        <f>+GETPIVOTDATA("Undergrad Student Credit Hour FTE - New",'FTE Pivot for regular counts'!$A$2,"State","LA","Category2","Four-Year")</f>
        <v>105251.61111111111</v>
      </c>
      <c r="O18" s="422">
        <f>+GETPIVOTDATA("Sum of New-HS % of Total",'Pivot-HS Student % of Undergrad'!$A$3,"State","LA","Category2","Group1")</f>
        <v>1.001216162158252E-2</v>
      </c>
      <c r="Q18" s="1" t="s">
        <v>482</v>
      </c>
      <c r="R18" s="642">
        <f>+GETPIVOTDATA("Sum of Old-HS % of Total",'Pivot-HS Student % of Undergrad'!$A$3,"State","LA","Category",1,"Category2","Four-Year")</f>
        <v>4.005171302811385E-4</v>
      </c>
      <c r="S18" s="547">
        <f>+'Pivot-HS Student % of Undergrad'!W54*100</f>
        <v>-1.4528914055720314E-2</v>
      </c>
      <c r="T18" s="556">
        <f>+GETPIVOTDATA("Sum of Old-HS % of Total",'Pivot-HS Student % of Undergrad'!$A$3,"State","LA","Category",2,"Category2","Four-Year")</f>
        <v>3.0688059803541719E-3</v>
      </c>
      <c r="U18" s="546">
        <f>+'Pivot-HS Student % of Undergrad'!X54*100</f>
        <v>0.34032144485264471</v>
      </c>
      <c r="V18" s="556">
        <f>+GETPIVOTDATA("Sum of Old-HS % of Total",'Pivot-HS Student % of Undergrad'!$A$3,"State","LA","Category",3,"Category2","Four-Year")</f>
        <v>8.3291084232635614E-3</v>
      </c>
      <c r="W18" s="546">
        <f>+'Pivot-HS Student % of Undergrad'!Y54*100</f>
        <v>0.63158032428619482</v>
      </c>
      <c r="X18" s="556">
        <f>+GETPIVOTDATA("Sum of Old-HS % of Total",'Pivot-HS Student % of Undergrad'!$A$3,"State","LA","Category",4,"Category2","Four-Year")</f>
        <v>6.2655877828352155E-3</v>
      </c>
      <c r="Y18" s="546">
        <f>+'Pivot-HS Student % of Undergrad'!Z54*100</f>
        <v>1.0949317200617807</v>
      </c>
      <c r="Z18" s="556">
        <f>+GETPIVOTDATA("Sum of Old-HS % of Total",'Pivot-HS Student % of Undergrad'!$A$3,"State","LA","Category",5,"Category2","Four-Year")</f>
        <v>1.996230624254779E-2</v>
      </c>
      <c r="AA18" s="546">
        <f>+'Pivot-HS Student % of Undergrad'!AA54*100</f>
        <v>-0.16677017410467385</v>
      </c>
      <c r="AB18" s="556">
        <f>+GETPIVOTDATA("Sum of Old-HS % of Total",'Pivot-HS Student % of Undergrad'!$A$3,"State","LA","Category",6,"Category2","Four-Year")</f>
        <v>0</v>
      </c>
      <c r="AC18" s="546" t="e">
        <f>+'Pivot-HS Student % of Undergrad'!AB54*100</f>
        <v>#VALUE!</v>
      </c>
      <c r="AD18" s="556">
        <f>+GETPIVOTDATA("Sum of Old-HS % of Total",'Pivot-HS Student % of Undergrad'!$A$3,"State","LA","Category2","Four-Year")</f>
        <v>4.8207640827350887E-3</v>
      </c>
      <c r="AE18" s="546">
        <f>+'Pivot-HS Student % of Undergrad'!AC54*100</f>
        <v>0.51913975388474309</v>
      </c>
    </row>
    <row r="19" spans="1:31" ht="15" customHeight="1">
      <c r="A19" s="1" t="s">
        <v>483</v>
      </c>
      <c r="B19" s="5">
        <f>+GETPIVOTDATA("Undergrad Student Credit Hour FTE - New",'FTE Pivot for regular counts'!$A$2,"State","MD","Category",1,"Category2","Four-Year")</f>
        <v>25969.566666666666</v>
      </c>
      <c r="C19" s="422">
        <f>+GETPIVOTDATA("Sum of New-HS % of Total",'Pivot-HS Student % of Undergrad'!$A$3,"State","MD","Category",1,"Category2","Four-Year")</f>
        <v>0</v>
      </c>
      <c r="D19" s="456">
        <f>+GETPIVOTDATA("Undergrad Student Credit Hour FTE - New",'FTE Pivot for regular counts'!$A$2,"State","MD","Category",2,"Category2","Four-Year")</f>
        <v>9076.5666666666675</v>
      </c>
      <c r="E19" s="422">
        <f>+GETPIVOTDATA("Sum of New-HS % of Total",'Pivot-HS Student % of Undergrad'!$A$3,"State","MD","Category",2,"Category2","Four-Year")</f>
        <v>0</v>
      </c>
      <c r="F19" s="456">
        <f>+GETPIVOTDATA("Undergrad Student Credit Hour FTE - New",'FTE Pivot for regular counts'!$A$2,"State","MD","Category",3,"Category2","Four-Year")</f>
        <v>21224.199999999997</v>
      </c>
      <c r="G19" s="422">
        <f>+GETPIVOTDATA("Sum of New-HS % of Total",'Pivot-HS Student % of Undergrad'!$A$3,"State","MD","Category",3,"Category2","Four-Year")</f>
        <v>0</v>
      </c>
      <c r="H19" s="456">
        <f>+GETPIVOTDATA("Undergrad Student Credit Hour FTE - New",'FTE Pivot for regular counts'!$A$2,"State","MD","Category",4,"Category2","Four-Year")</f>
        <v>23457.733333333334</v>
      </c>
      <c r="I19" s="422">
        <f>+GETPIVOTDATA("Sum of New-HS % of Total",'Pivot-HS Student % of Undergrad'!$A$3,"State","MD","Category",4,"Category2","Four-Year")</f>
        <v>0</v>
      </c>
      <c r="J19" s="456">
        <f>+GETPIVOTDATA("Undergrad Student Credit Hour FTE - New",'FTE Pivot for regular counts'!$A$2,"State","MD","Category",5,"Category2","Four-Year")</f>
        <v>0</v>
      </c>
      <c r="K19" s="422">
        <f>+GETPIVOTDATA("Sum of New-HS % of Total",'Pivot-HS Student % of Undergrad'!$A$3,"State","MD","Category",5,"Category2","Four-Year")</f>
        <v>0</v>
      </c>
      <c r="L19" s="456">
        <f>+GETPIVOTDATA("Undergrad Student Credit Hour FTE - New",'FTE Pivot for regular counts'!$A$2,"State","MD","Category",6,"Category2","Four-Year")</f>
        <v>2064.4516666666668</v>
      </c>
      <c r="M19" s="422">
        <f>+GETPIVOTDATA("Sum of New-HS % of Total",'Pivot-HS Student % of Undergrad'!$A$3,"State","MD","Category",6,"Category2","Four-Year")</f>
        <v>0</v>
      </c>
      <c r="N19" s="456">
        <f>+GETPIVOTDATA("Undergrad Student Credit Hour FTE - New",'FTE Pivot for regular counts'!$A$2,"State","MD","Category2","Four-Year")</f>
        <v>81792.518333333326</v>
      </c>
      <c r="O19" s="422">
        <f>+GETPIVOTDATA("Sum of New-HS % of Total",'Pivot-HS Student % of Undergrad'!$A$3,"State","MD","Category2","Group1")</f>
        <v>0</v>
      </c>
      <c r="Q19" s="1" t="s">
        <v>483</v>
      </c>
      <c r="R19" s="486">
        <f>+GETPIVOTDATA("Sum of Old-HS % of Total",'Pivot-HS Student % of Undergrad'!$A$3,"State","MD","Category",1,"Category2","Four-Year")</f>
        <v>0</v>
      </c>
      <c r="S19" s="546" t="e">
        <f>+'Pivot-HS Student % of Undergrad'!W61*100</f>
        <v>#VALUE!</v>
      </c>
      <c r="T19" s="556">
        <f>+GETPIVOTDATA("Sum of Old-HS % of Total",'Pivot-HS Student % of Undergrad'!$A$3,"State","MD","Category",2,"Category2","Four-Year")</f>
        <v>0</v>
      </c>
      <c r="U19" s="546" t="e">
        <f>+'Pivot-HS Student % of Undergrad'!X61*100</f>
        <v>#VALUE!</v>
      </c>
      <c r="V19" s="556">
        <f>+GETPIVOTDATA("Sum of Old-HS % of Total",'Pivot-HS Student % of Undergrad'!$A$3,"State","MD","Category",3,"Category2","Four-Year")</f>
        <v>0</v>
      </c>
      <c r="W19" s="546" t="e">
        <f>+'Pivot-HS Student % of Undergrad'!Y61*100</f>
        <v>#VALUE!</v>
      </c>
      <c r="X19" s="556">
        <f>+GETPIVOTDATA("Sum of Old-HS % of Total",'Pivot-HS Student % of Undergrad'!$A$3,"State","MD","Category",4,"Category2","Four-Year")</f>
        <v>0</v>
      </c>
      <c r="Y19" s="546" t="e">
        <f>+'Pivot-HS Student % of Undergrad'!Z61*100</f>
        <v>#VALUE!</v>
      </c>
      <c r="Z19" s="556">
        <f>+GETPIVOTDATA("Sum of Old-HS % of Total",'Pivot-HS Student % of Undergrad'!$A$3,"State","MD","Category",5,"Category2","Four-Year")</f>
        <v>0</v>
      </c>
      <c r="AA19" s="546" t="e">
        <f>+'Pivot-HS Student % of Undergrad'!AA61*100</f>
        <v>#VALUE!</v>
      </c>
      <c r="AB19" s="556">
        <f>+GETPIVOTDATA("Sum of Old-HS % of Total",'Pivot-HS Student % of Undergrad'!$A$3,"State","MD","Category",6,"Category2","Four-Year")</f>
        <v>0</v>
      </c>
      <c r="AC19" s="546" t="e">
        <f>+'Pivot-HS Student % of Undergrad'!AB61*100</f>
        <v>#VALUE!</v>
      </c>
      <c r="AD19" s="556">
        <f>+GETPIVOTDATA("Sum of Old-HS % of Total",'Pivot-HS Student % of Undergrad'!$A$3,"State","MD","Category2","Four-Year")</f>
        <v>0</v>
      </c>
      <c r="AE19" s="546" t="e">
        <f>+'Pivot-HS Student % of Undergrad'!AC61*100</f>
        <v>#VALUE!</v>
      </c>
    </row>
    <row r="20" spans="1:31" ht="15" customHeight="1">
      <c r="B20" s="5"/>
      <c r="C20" s="422"/>
      <c r="D20" s="456"/>
      <c r="E20" s="422"/>
      <c r="F20" s="456"/>
      <c r="G20" s="422"/>
      <c r="H20" s="456"/>
      <c r="I20" s="422"/>
      <c r="J20" s="456"/>
      <c r="K20" s="422"/>
      <c r="L20" s="456"/>
      <c r="M20" s="422"/>
      <c r="N20" s="456"/>
      <c r="O20" s="422"/>
      <c r="R20" s="486"/>
      <c r="S20" s="546"/>
      <c r="T20" s="556"/>
      <c r="U20" s="546"/>
      <c r="V20" s="556"/>
      <c r="W20" s="546"/>
      <c r="X20" s="556"/>
      <c r="Y20" s="546"/>
      <c r="Z20" s="556"/>
      <c r="AA20" s="546"/>
      <c r="AB20" s="556"/>
      <c r="AC20" s="546"/>
      <c r="AD20" s="556"/>
      <c r="AE20" s="546"/>
    </row>
    <row r="21" spans="1:31" ht="15" customHeight="1">
      <c r="A21" s="1" t="s">
        <v>484</v>
      </c>
      <c r="B21" s="5">
        <f>+GETPIVOTDATA("Undergrad Student Credit Hour FTE - New",'FTE Pivot for regular counts'!$A$2,"State","MS","Category",1,"Category2","Four-Year")</f>
        <v>23206.483333333334</v>
      </c>
      <c r="C21" s="422">
        <f>+GETPIVOTDATA("Sum of New-HS % of Total",'Pivot-HS Student % of Undergrad'!$A$3,"State","MS","Category",1,"Category2","Four-Year")</f>
        <v>0</v>
      </c>
      <c r="D21" s="456">
        <f>+GETPIVOTDATA("Undergrad Student Credit Hour FTE - New",'FTE Pivot for regular counts'!$A$2,"State","MS","Category",2,"Category2","Four-Year")</f>
        <v>17503.366666666669</v>
      </c>
      <c r="E21" s="422">
        <f>+GETPIVOTDATA("Sum of New-HS % of Total",'Pivot-HS Student % of Undergrad'!$A$3,"State","MS","Category",2,"Category2","Four-Year")</f>
        <v>0</v>
      </c>
      <c r="F21" s="456">
        <f>+GETPIVOTDATA("Undergrad Student Credit Hour FTE - New",'FTE Pivot for regular counts'!$A$2,"State","MS","Category",3,"Category2","Four-Year")</f>
        <v>0</v>
      </c>
      <c r="G21" s="422">
        <f>+GETPIVOTDATA("Sum of New-HS % of Total",'Pivot-HS Student % of Undergrad'!$A$3,"State","MS","Category",3,"Category2","Four-Year")</f>
        <v>0</v>
      </c>
      <c r="H21" s="456">
        <f>+GETPIVOTDATA("Undergrad Student Credit Hour FTE - New",'FTE Pivot for regular counts'!$A$2,"State","MS","Category",4,"Category2","Four-Year")</f>
        <v>5325.2333333333336</v>
      </c>
      <c r="I21" s="422">
        <f>+GETPIVOTDATA("Sum of New-HS % of Total",'Pivot-HS Student % of Undergrad'!$A$3,"State","MS","Category",4,"Category2","Four-Year")</f>
        <v>0</v>
      </c>
      <c r="J21" s="456">
        <f>+GETPIVOTDATA("Undergrad Student Credit Hour FTE - New",'FTE Pivot for regular counts'!$A$2,"State","MS","Category",5,"Category2","Four-Year")</f>
        <v>4197.333333333333</v>
      </c>
      <c r="K21" s="422">
        <f>+GETPIVOTDATA("Sum of New-HS % of Total",'Pivot-HS Student % of Undergrad'!$A$3,"State","MS","Category",5,"Category2","Four-Year")</f>
        <v>0</v>
      </c>
      <c r="L21" s="456">
        <f>+GETPIVOTDATA("Undergrad Student Credit Hour FTE - New",'FTE Pivot for regular counts'!$A$2,"State","MS","Category",6,"Category2","Four-Year")</f>
        <v>0</v>
      </c>
      <c r="M21" s="422">
        <f>+GETPIVOTDATA("Sum of New-HS % of Total",'Pivot-HS Student % of Undergrad'!$A$3,"State","MS","Category",6,"Category2","Four-Year")</f>
        <v>0</v>
      </c>
      <c r="N21" s="456">
        <f>+GETPIVOTDATA("Undergrad Student Credit Hour FTE - New",'FTE Pivot for regular counts'!$A$2,"State","MS","Category2","Four-Year")</f>
        <v>50232.416666666679</v>
      </c>
      <c r="O21" s="422">
        <f>+GETPIVOTDATA("Sum of New-HS % of Total",'Pivot-HS Student % of Undergrad'!$A$3,"State","MS","Category2","Group1")</f>
        <v>0</v>
      </c>
      <c r="Q21" s="1" t="s">
        <v>484</v>
      </c>
      <c r="R21" s="486">
        <f>+GETPIVOTDATA("Sum of Old-HS % of Total",'Pivot-HS Student % of Undergrad'!$A$3,"State","MS","Category",1,"Category2","Four-Year")</f>
        <v>0</v>
      </c>
      <c r="S21" s="546" t="e">
        <f>+'Pivot-HS Student % of Undergrad'!W68*100</f>
        <v>#VALUE!</v>
      </c>
      <c r="T21" s="556">
        <f>+GETPIVOTDATA("Sum of Old-HS % of Total",'Pivot-HS Student % of Undergrad'!$A$3,"State","MS","Category",2,"Category2","Four-Year")</f>
        <v>0</v>
      </c>
      <c r="U21" s="546" t="e">
        <f>+'Pivot-HS Student % of Undergrad'!X68*100</f>
        <v>#VALUE!</v>
      </c>
      <c r="V21" s="556">
        <f>+GETPIVOTDATA("Sum of Old-HS % of Total",'Pivot-HS Student % of Undergrad'!$A$3,"State","MS","Category",3,"Category2","Four-Year")</f>
        <v>0</v>
      </c>
      <c r="W21" s="546" t="e">
        <f>+'Pivot-HS Student % of Undergrad'!Y68*100</f>
        <v>#VALUE!</v>
      </c>
      <c r="X21" s="556">
        <f>+GETPIVOTDATA("Sum of Old-HS % of Total",'Pivot-HS Student % of Undergrad'!$A$3,"State","MS","Category",4,"Category2","Four-Year")</f>
        <v>0</v>
      </c>
      <c r="Y21" s="546" t="e">
        <f>+'Pivot-HS Student % of Undergrad'!Z68*100</f>
        <v>#VALUE!</v>
      </c>
      <c r="Z21" s="556">
        <f>+GETPIVOTDATA("Sum of Old-HS % of Total",'Pivot-HS Student % of Undergrad'!$A$3,"State","MS","Category",5,"Category2","Four-Year")</f>
        <v>0</v>
      </c>
      <c r="AA21" s="546" t="e">
        <f>+'Pivot-HS Student % of Undergrad'!AA68*100</f>
        <v>#VALUE!</v>
      </c>
      <c r="AB21" s="556">
        <f>+GETPIVOTDATA("Sum of Old-HS % of Total",'Pivot-HS Student % of Undergrad'!$A$3,"State","MS","Category",6,"Category2","Four-Year")</f>
        <v>0</v>
      </c>
      <c r="AC21" s="546" t="e">
        <f>+'Pivot-HS Student % of Undergrad'!AB68*100</f>
        <v>#VALUE!</v>
      </c>
      <c r="AD21" s="556">
        <f>+GETPIVOTDATA("Sum of Old-HS % of Total",'Pivot-HS Student % of Undergrad'!$A$3,"State","MS","Category2","Four-Year")</f>
        <v>0</v>
      </c>
      <c r="AE21" s="546" t="e">
        <f>+'Pivot-HS Student % of Undergrad'!AC68*100</f>
        <v>#VALUE!</v>
      </c>
    </row>
    <row r="22" spans="1:31" ht="15" customHeight="1">
      <c r="A22" s="1" t="s">
        <v>485</v>
      </c>
      <c r="B22" s="5">
        <f>+GETPIVOTDATA("Undergrad Student Credit Hour FTE - New",'FTE Pivot for regular counts'!$A$2,"State","NC","Category",1,"Category2","Four-Year")</f>
        <v>39711.600000000006</v>
      </c>
      <c r="C22" s="422">
        <f>+GETPIVOTDATA("Sum of New-HS % of Total",'Pivot-HS Student % of Undergrad'!$A$3,"State","NC","Category",1,"Category2","Four-Year")</f>
        <v>0</v>
      </c>
      <c r="D22" s="456">
        <f>+GETPIVOTDATA("Undergrad Student Credit Hour FTE - New",'FTE Pivot for regular counts'!$A$2,"State","NC","Category",2,"Category2","Four-Year")</f>
        <v>29717.433333333334</v>
      </c>
      <c r="E22" s="422">
        <f>+GETPIVOTDATA("Sum of New-HS % of Total",'Pivot-HS Student % of Undergrad'!$A$3,"State","NC","Category",2,"Category2","Four-Year")</f>
        <v>1.4072547763770536E-2</v>
      </c>
      <c r="F22" s="456">
        <f>+GETPIVOTDATA("Undergrad Student Credit Hour FTE - New",'FTE Pivot for regular counts'!$A$2,"State","NC","Category",3,"Category2","Four-Year")</f>
        <v>65582.566666666666</v>
      </c>
      <c r="G22" s="422">
        <f>+GETPIVOTDATA("Sum of New-HS % of Total",'Pivot-HS Student % of Undergrad'!$A$3,"State","NC","Category",3,"Category2","Four-Year")</f>
        <v>2.57537953429697E-3</v>
      </c>
      <c r="H22" s="456">
        <f>+GETPIVOTDATA("Undergrad Student Credit Hour FTE - New",'FTE Pivot for regular counts'!$A$2,"State","NC","Category",4,"Category2","Four-Year")</f>
        <v>5580.333333333333</v>
      </c>
      <c r="I22" s="422">
        <f>+GETPIVOTDATA("Sum of New-HS % of Total",'Pivot-HS Student % of Undergrad'!$A$3,"State","NC","Category",4,"Category2","Four-Year")</f>
        <v>9.5872409055611976E-3</v>
      </c>
      <c r="J22" s="456">
        <f>+GETPIVOTDATA("Undergrad Student Credit Hour FTE - New",'FTE Pivot for regular counts'!$A$2,"State","NC","Category",5,"Category2","Four-Year")</f>
        <v>10490.833333333334</v>
      </c>
      <c r="K22" s="422">
        <f>+GETPIVOTDATA("Sum of New-HS % of Total",'Pivot-HS Student % of Undergrad'!$A$3,"State","NC","Category",5,"Category2","Four-Year")</f>
        <v>0</v>
      </c>
      <c r="L22" s="456">
        <f>+GETPIVOTDATA("Undergrad Student Credit Hour FTE - New",'FTE Pivot for regular counts'!$A$2,"State","NC","Category",6,"Category2","Four-Year")</f>
        <v>6071.4</v>
      </c>
      <c r="M22" s="422">
        <f>+GETPIVOTDATA("Sum of New-HS % of Total",'Pivot-HS Student % of Undergrad'!$A$3,"State","NC","Category",6,"Category2","Four-Year")</f>
        <v>0</v>
      </c>
      <c r="N22" s="456">
        <f>+GETPIVOTDATA("Undergrad Student Credit Hour FTE - New",'FTE Pivot for regular counts'!$A$2,"State","NC","Category2","Four-Year")</f>
        <v>157154.16666666669</v>
      </c>
      <c r="O22" s="422">
        <f>+GETPIVOTDATA("Sum of New-HS % of Total",'Pivot-HS Student % of Undergrad'!$A$3,"State","NC","Category2","Group1")</f>
        <v>4.076252087917915E-3</v>
      </c>
      <c r="Q22" s="1" t="s">
        <v>485</v>
      </c>
      <c r="R22" s="486">
        <f>+GETPIVOTDATA("Sum of Old-HS % of Total",'Pivot-HS Student % of Undergrad'!$A$3,"State","NC","Category",1,"Category2","Four-Year")</f>
        <v>0</v>
      </c>
      <c r="S22" s="546" t="e">
        <f>+'Pivot-HS Student % of Undergrad'!W75*100</f>
        <v>#VALUE!</v>
      </c>
      <c r="T22" s="556">
        <f>+GETPIVOTDATA("Sum of Old-HS % of Total",'Pivot-HS Student % of Undergrad'!$A$3,"State","NC","Category",2,"Category2","Four-Year")</f>
        <v>4.9145527211489426E-3</v>
      </c>
      <c r="U22" s="546">
        <f>+'Pivot-HS Student % of Undergrad'!X75*100</f>
        <v>0.91579950426215928</v>
      </c>
      <c r="V22" s="556">
        <f>+GETPIVOTDATA("Sum of Old-HS % of Total",'Pivot-HS Student % of Undergrad'!$A$3,"State","NC","Category",3,"Category2","Four-Year")</f>
        <v>1.348049453386183E-3</v>
      </c>
      <c r="W22" s="546">
        <f>+'Pivot-HS Student % of Undergrad'!Y75*100</f>
        <v>0.12273300809107869</v>
      </c>
      <c r="X22" s="556">
        <f>+GETPIVOTDATA("Sum of Old-HS % of Total",'Pivot-HS Student % of Undergrad'!$A$3,"State","NC","Category",4,"Category2","Four-Year")</f>
        <v>3.5377426436271659E-3</v>
      </c>
      <c r="Y22" s="546">
        <f>+'Pivot-HS Student % of Undergrad'!Z75*10</f>
        <v>6.0494982619340318E-2</v>
      </c>
      <c r="Z22" s="556">
        <f>+GETPIVOTDATA("Sum of Old-HS % of Total",'Pivot-HS Student % of Undergrad'!$A$3,"State","NC","Category",5,"Category2","Four-Year")</f>
        <v>0</v>
      </c>
      <c r="AA22" s="546" t="e">
        <f>+'Pivot-HS Student % of Undergrad'!AA75*100</f>
        <v>#VALUE!</v>
      </c>
      <c r="AB22" s="556">
        <f>+GETPIVOTDATA("Sum of Old-HS % of Total",'Pivot-HS Student % of Undergrad'!$A$3,"State","NC","Category",6,"Category2","Four-Year")</f>
        <v>0</v>
      </c>
      <c r="AC22" s="546" t="e">
        <f>+'Pivot-HS Student % of Undergrad'!AB75*100</f>
        <v>#VALUE!</v>
      </c>
      <c r="AD22" s="556">
        <f>+GETPIVOTDATA("Sum of Old-HS % of Total",'Pivot-HS Student % of Undergrad'!$A$3,"State","NC","Category2","Four-Year")</f>
        <v>1.6047064408152153E-3</v>
      </c>
      <c r="AE22" s="546">
        <f>+'Pivot-HS Student % of Undergrad'!AC75*100</f>
        <v>0.24715456471026997</v>
      </c>
    </row>
    <row r="23" spans="1:31" ht="15" customHeight="1">
      <c r="A23" s="1" t="s">
        <v>486</v>
      </c>
      <c r="B23" s="5">
        <f>+GETPIVOTDATA("Undergrad Student Credit Hour FTE - New",'FTE Pivot for regular counts'!$A$2,"State","OK","Category",1,"Category2","Four-Year")</f>
        <v>35448.300000000003</v>
      </c>
      <c r="C23" s="422">
        <f>+GETPIVOTDATA("Sum of New-HS % of Total",'Pivot-HS Student % of Undergrad'!$A$3,"State","OK","Category",1,"Category2","Four-Year")</f>
        <v>1.2459459739018984E-3</v>
      </c>
      <c r="D23" s="456">
        <f>+GETPIVOTDATA("Undergrad Student Credit Hour FTE - New",'FTE Pivot for regular counts'!$A$2,"State","OK","Category",2,"Category2","Four-Year")</f>
        <v>0</v>
      </c>
      <c r="E23" s="422">
        <f>+GETPIVOTDATA("Sum of New-HS % of Total",'Pivot-HS Student % of Undergrad'!$A$3,"State","OK","Category",3,"Category2","Four-Year")</f>
        <v>6.4418534843673474E-3</v>
      </c>
      <c r="F23" s="456">
        <f>+GETPIVOTDATA("Undergrad Student Credit Hour FTE - New",'FTE Pivot for regular counts'!$A$2,"State","OK","Category",3,"Category2","Four-Year")</f>
        <v>16879.2</v>
      </c>
      <c r="G23" s="422">
        <f>+GETPIVOTDATA("Sum of New-HS % of Total",'Pivot-HS Student % of Undergrad'!$A$3,"State","OK","Category",3,"Category2","Four-Year")</f>
        <v>6.4418534843673474E-3</v>
      </c>
      <c r="H23" s="456">
        <f>+GETPIVOTDATA("Undergrad Student Credit Hour FTE - New",'FTE Pivot for regular counts'!$A$2,"State","OK","Category",4,"Category2","Four-Year")</f>
        <v>0</v>
      </c>
      <c r="I23" s="422">
        <f>+GETPIVOTDATA("Sum of New-HS % of Total",'Pivot-HS Student % of Undergrad'!$A$3,"State","OK","Category",4,"Category2","Four-Year")</f>
        <v>0</v>
      </c>
      <c r="J23" s="456">
        <f>+GETPIVOTDATA("Undergrad Student Credit Hour FTE - New",'FTE Pivot for regular counts'!$A$2,"State","OK","Category",5,"Category2","Four-Year")</f>
        <v>17622.233333333334</v>
      </c>
      <c r="K23" s="422">
        <f>+GETPIVOTDATA("Sum of New-HS % of Total",'Pivot-HS Student % of Undergrad'!$A$3,"State","OK","Category",5,"Category2","Four-Year")</f>
        <v>9.813360773416914E-3</v>
      </c>
      <c r="L23" s="456">
        <f>+GETPIVOTDATA("Undergrad Student Credit Hour FTE - New",'FTE Pivot for regular counts'!$A$2,"State","OK","Category",6,"Category2","Four-Year")</f>
        <v>4970.333333333333</v>
      </c>
      <c r="M23" s="422">
        <f>+GETPIVOTDATA("Sum of New-HS % of Total",'Pivot-HS Student % of Undergrad'!$A$3,"State","OK","Category",6,"Category2","Four-Year")</f>
        <v>1.6222922674535577E-2</v>
      </c>
      <c r="N23" s="456">
        <f>+GETPIVOTDATA("Undergrad Student Credit Hour FTE - New",'FTE Pivot for regular counts'!$A$2,"State","OK","Category2","Four-Year")</f>
        <v>74920.066666666666</v>
      </c>
      <c r="O23" s="422">
        <f>+GETPIVOTDATA("Sum of New-HS % of Total",'Pivot-HS Student % of Undergrad'!$A$3,"State","OK","Category2","Group1")</f>
        <v>5.4253377599770775E-3</v>
      </c>
      <c r="Q23" s="1" t="s">
        <v>486</v>
      </c>
      <c r="R23" s="486">
        <f>+GETPIVOTDATA("Sum of Old-HS % of Total",'Pivot-HS Student % of Undergrad'!$A$3,"State","OK","Category",1,"Category2","Four-Year")</f>
        <v>1.0393893027025056E-3</v>
      </c>
      <c r="S23" s="547">
        <f>+'Pivot-HS Student % of Undergrad'!W82*100</f>
        <v>2.0655667119939283E-2</v>
      </c>
      <c r="T23" s="556">
        <f>+GETPIVOTDATA("Sum of Old-HS % of Total",'Pivot-HS Student % of Undergrad'!$A$3,"State","OK","Category",2,"Category2","Four-Year")</f>
        <v>0</v>
      </c>
      <c r="U23" s="546" t="e">
        <f>+'Pivot-HS Student % of Undergrad'!X82*100</f>
        <v>#VALUE!</v>
      </c>
      <c r="V23" s="556">
        <f>+GETPIVOTDATA("Sum of Old-HS % of Total",'Pivot-HS Student % of Undergrad'!$A$3,"State","OK","Category",3,"Category2","Four-Year")</f>
        <v>5.9541950266951112E-3</v>
      </c>
      <c r="W23" s="547">
        <f>+'Pivot-HS Student % of Undergrad'!Y82*100</f>
        <v>4.876584576722362E-2</v>
      </c>
      <c r="X23" s="556">
        <f>+GETPIVOTDATA("Sum of Old-HS % of Total",'Pivot-HS Student % of Undergrad'!$A$3,"State","OK","Category",4,"Category2","Four-Year")</f>
        <v>0</v>
      </c>
      <c r="Y23" s="547" t="e">
        <f>+'Pivot-HS Student % of Undergrad'!Z82*100</f>
        <v>#VALUE!</v>
      </c>
      <c r="Z23" s="556">
        <f>+GETPIVOTDATA("Sum of Old-HS % of Total",'Pivot-HS Student % of Undergrad'!$A$3,"State","OK","Category",5,"Category2","Four-Year")</f>
        <v>9.1107494266479249E-3</v>
      </c>
      <c r="AA23" s="546">
        <f>+'Pivot-HS Student % of Undergrad'!AA82*100</f>
        <v>7.0261134676898901E-2</v>
      </c>
      <c r="AB23" s="556">
        <f>+GETPIVOTDATA("Sum of Old-HS % of Total",'Pivot-HS Student % of Undergrad'!$A$3,"State","OK","Category",6,"Category2","Four-Year")</f>
        <v>1.8336981481730161E-2</v>
      </c>
      <c r="AC23" s="546">
        <f>+'Pivot-HS Student % of Undergrad'!AB82*100</f>
        <v>-0.2114058807194584</v>
      </c>
      <c r="AD23" s="556">
        <f>+GETPIVOTDATA("Sum of Old-HS % of Total",'Pivot-HS Student % of Undergrad'!$A$3,"State","OK","Category2","Four-Year")</f>
        <v>5.2090085206180099E-3</v>
      </c>
      <c r="AE23" s="547">
        <f>+'Pivot-HS Student % of Undergrad'!AC82*100</f>
        <v>2.1632923935906764E-2</v>
      </c>
    </row>
    <row r="24" spans="1:31" ht="15" customHeight="1">
      <c r="A24" s="1" t="s">
        <v>487</v>
      </c>
      <c r="B24" s="5">
        <f>+GETPIVOTDATA("Undergrad Student Credit Hour FTE - New",'FTE Pivot for regular counts'!$A$2,"State","SC","Category",1,"Category2","Four-Year")</f>
        <v>33964.633333333331</v>
      </c>
      <c r="C24" s="487">
        <f>+GETPIVOTDATA("Sum of New-HS % of Total",'Pivot-HS Student % of Undergrad'!$A$3,"State","SC","Category",1,"Category2","Four-Year")</f>
        <v>8.636434565759089E-5</v>
      </c>
      <c r="D24" s="456">
        <f>+GETPIVOTDATA("Undergrad Student Credit Hour FTE - New",'FTE Pivot for regular counts'!$A$2,"State","SC","Category",2,"Category2","Four-Year")</f>
        <v>0</v>
      </c>
      <c r="E24" s="422">
        <f>+GETPIVOTDATA("Sum of New-HS % of Total",'Pivot-HS Student % of Undergrad'!$A$3,"State","SC","Category",2,"Category2","Four-Year")</f>
        <v>0</v>
      </c>
      <c r="F24" s="456">
        <f>+GETPIVOTDATA("Undergrad Student Credit Hour FTE - New",'FTE Pivot for regular counts'!$A$2,"State","SC","Category",3,"Category2","Four-Year")</f>
        <v>14279.150000000001</v>
      </c>
      <c r="G24" s="422">
        <f>+GETPIVOTDATA("Sum of New-HS % of Total",'Pivot-HS Student % of Undergrad'!$A$3,"State","SC","Category",3,"Category2","Four-Year")</f>
        <v>2.488476788417611E-3</v>
      </c>
      <c r="H24" s="456">
        <f>+GETPIVOTDATA("Undergrad Student Credit Hour FTE - New",'FTE Pivot for regular counts'!$A$2,"State","SC","Category",4,"Category2","Four-Year")</f>
        <v>2719.5666666666666</v>
      </c>
      <c r="I24" s="422">
        <f>+GETPIVOTDATA("Sum of New-HS % of Total",'Pivot-HS Student % of Undergrad'!$A$3,"State","SC","Category",4,"Category2","Four-Year")</f>
        <v>2.0468947258754457E-3</v>
      </c>
      <c r="J24" s="456">
        <f>+GETPIVOTDATA("Undergrad Student Credit Hour FTE - New",'FTE Pivot for regular counts'!$A$2,"State","SC","Category",5,"Category2","Four-Year")</f>
        <v>16761.316666666666</v>
      </c>
      <c r="K24" s="422">
        <f>+GETPIVOTDATA("Sum of New-HS % of Total",'Pivot-HS Student % of Undergrad'!$A$3,"State","SC","Category",5,"Category2","Four-Year")</f>
        <v>2.42622148816869E-3</v>
      </c>
      <c r="L24" s="456">
        <f>+GETPIVOTDATA("Undergrad Student Credit Hour FTE - New",'FTE Pivot for regular counts'!$A$2,"State","SC","Category",6,"Category2","Four-Year")</f>
        <v>7285.3333333333339</v>
      </c>
      <c r="M24" s="422">
        <f>+GETPIVOTDATA("Sum of New-HS % of Total",'Pivot-HS Student % of Undergrad'!$A$3,"State","SC","Category",6,"Category2","Four-Year")</f>
        <v>8.4736456808199127E-3</v>
      </c>
      <c r="N24" s="456">
        <f>+GETPIVOTDATA("Undergrad Student Credit Hour FTE - New",'FTE Pivot for regular counts'!$A$2,"State","SC","Category2","Four-Year")</f>
        <v>75009.999999999985</v>
      </c>
      <c r="O24" s="422">
        <f>+GETPIVOTDATA("Sum of New-HS % of Total",'Pivot-HS Student % of Undergrad'!$A$3,"State","SC","Category2","Group1")</f>
        <v>1.9521841532240147E-3</v>
      </c>
      <c r="Q24" s="1" t="s">
        <v>487</v>
      </c>
      <c r="R24" s="642">
        <f>+GETPIVOTDATA("Sum of Old-HS % of Total",'Pivot-HS Student % of Undergrad'!$A$3,"State","SC","Category",1,"Category2","Four-Year")</f>
        <v>3.2838846928140035E-4</v>
      </c>
      <c r="S24" s="547">
        <f>+'Pivot-HS Student % of Undergrad'!W89*100</f>
        <v>-2.4202412362380944E-2</v>
      </c>
      <c r="T24" s="556">
        <f>+GETPIVOTDATA("Sum of Old-HS % of Total",'Pivot-HS Student % of Undergrad'!$A$3,"State","SC","Category",2,"Category2","Four-Year")</f>
        <v>0</v>
      </c>
      <c r="U24" s="547" t="e">
        <f>+'Pivot-HS Student % of Undergrad'!X89*100</f>
        <v>#VALUE!</v>
      </c>
      <c r="V24" s="556">
        <f>+GETPIVOTDATA("Sum of Old-HS % of Total",'Pivot-HS Student % of Undergrad'!$A$3,"State","SC","Category",3,"Category2","Four-Year")</f>
        <v>2.4225177910915511E-3</v>
      </c>
      <c r="W24" s="547">
        <f>+'Pivot-HS Student % of Undergrad'!Y89*100</f>
        <v>6.595899732605992E-3</v>
      </c>
      <c r="X24" s="556">
        <f>+GETPIVOTDATA("Sum of Old-HS % of Total",'Pivot-HS Student % of Undergrad'!$A$3,"State","SC","Category",4,"Category2","Four-Year")</f>
        <v>1.63471541090801E-3</v>
      </c>
      <c r="Y24" s="547">
        <f>+'Pivot-HS Student % of Undergrad'!Z89*100</f>
        <v>4.1217931496743576E-2</v>
      </c>
      <c r="Z24" s="556">
        <f>+GETPIVOTDATA("Sum of Old-HS % of Total",'Pivot-HS Student % of Undergrad'!$A$3,"State","SC","Category",5,"Category2","Four-Year")</f>
        <v>1.8571109741540113E-3</v>
      </c>
      <c r="AA24" s="546">
        <f>+'Pivot-HS Student % of Undergrad'!AA89*100</f>
        <v>5.6911051401467877E-2</v>
      </c>
      <c r="AB24" s="556">
        <f>+GETPIVOTDATA("Sum of Old-HS % of Total",'Pivot-HS Student % of Undergrad'!$A$3,"State","SC","Category",6,"Category2","Four-Year")</f>
        <v>5.1573768658802486E-3</v>
      </c>
      <c r="AC24" s="546">
        <f>+'Pivot-HS Student % of Undergrad'!AB89*100</f>
        <v>0.33162688149396641</v>
      </c>
      <c r="AD24" s="556">
        <f>+GETPIVOTDATA("Sum of Old-HS % of Total",'Pivot-HS Student % of Undergrad'!$A$3,"State","SC","Category2","Four-Year")</f>
        <v>1.5994808750390756E-3</v>
      </c>
      <c r="AE24" s="547">
        <f>+'Pivot-HS Student % of Undergrad'!AC89*100</f>
        <v>3.5270327818493909E-2</v>
      </c>
    </row>
    <row r="25" spans="1:31" ht="15" customHeight="1">
      <c r="B25" s="5"/>
      <c r="C25" s="487"/>
      <c r="D25" s="456"/>
      <c r="E25" s="422"/>
      <c r="F25" s="456"/>
      <c r="G25" s="422"/>
      <c r="H25" s="456"/>
      <c r="I25" s="422"/>
      <c r="J25" s="456"/>
      <c r="K25" s="422"/>
      <c r="L25" s="456"/>
      <c r="M25" s="422"/>
      <c r="N25" s="456"/>
      <c r="O25" s="422"/>
      <c r="R25" s="642"/>
      <c r="S25" s="547"/>
      <c r="T25" s="556"/>
      <c r="U25" s="547"/>
      <c r="V25" s="556"/>
      <c r="W25" s="547"/>
      <c r="X25" s="556"/>
      <c r="Y25" s="547"/>
      <c r="Z25" s="556"/>
      <c r="AA25" s="546"/>
      <c r="AB25" s="556"/>
      <c r="AC25" s="546"/>
      <c r="AD25" s="556"/>
      <c r="AE25" s="547"/>
    </row>
    <row r="26" spans="1:31" ht="15" customHeight="1">
      <c r="A26" s="1" t="s">
        <v>488</v>
      </c>
      <c r="B26" s="5">
        <f>+GETPIVOTDATA("Undergrad Student Credit Hour FTE - New",'FTE Pivot for regular counts'!$A$2,"State","TN","Category",1,"Category2","Four-Year")</f>
        <v>20702.333333333332</v>
      </c>
      <c r="C26" s="422">
        <f>+GETPIVOTDATA("Sum of New-HS % of Total",'Pivot-HS Student % of Undergrad'!$A$3,"State","TN","Category",1,"Category2","Four-Year")</f>
        <v>1.347674175213744E-3</v>
      </c>
      <c r="D26" s="456">
        <f>+GETPIVOTDATA("Undergrad Student Credit Hour FTE - New",'FTE Pivot for regular counts'!$A$2,"State","TN","Category",2,"Category2","Four-Year")</f>
        <v>13365.966666666667</v>
      </c>
      <c r="E26" s="422">
        <f>+GETPIVOTDATA("Sum of New-HS % of Total",'Pivot-HS Student % of Undergrad'!$A$3,"State","TN","Category",2,"Category2","Four-Year")</f>
        <v>5.394297456974056E-3</v>
      </c>
      <c r="F26" s="456">
        <f>+GETPIVOTDATA("Undergrad Student Credit Hour FTE - New",'FTE Pivot for regular counts'!$A$2,"State","TN","Category",3,"Category2","Four-Year")</f>
        <v>42542.933333333334</v>
      </c>
      <c r="G26" s="422">
        <f>+GETPIVOTDATA("Sum of New-HS % of Total",'Pivot-HS Student % of Undergrad'!$A$3,"State","TN","Category",3,"Category2","Four-Year")</f>
        <v>2.4790642864306487E-3</v>
      </c>
      <c r="H26" s="456">
        <f>+GETPIVOTDATA("Undergrad Student Credit Hour FTE - New",'FTE Pivot for regular counts'!$A$2,"State","TN","Category",4,"Category2","Four-Year")</f>
        <v>14703.533333333333</v>
      </c>
      <c r="I26" s="422">
        <f>+GETPIVOTDATA("Sum of New-HS % of Total",'Pivot-HS Student % of Undergrad'!$A$3,"State","TN","Category",4,"Category2","Four-Year")</f>
        <v>2.9834098833386984E-3</v>
      </c>
      <c r="J26" s="456">
        <f>+GETPIVOTDATA("Undergrad Student Credit Hour FTE - New",'FTE Pivot for regular counts'!$A$2,"State","TN","Category",5,"Category2","Four-Year")</f>
        <v>6155.4666666666662</v>
      </c>
      <c r="K26" s="422">
        <f>+GETPIVOTDATA("Sum of New-HS % of Total",'Pivot-HS Student % of Undergrad'!$A$3,"State","TN","Category",5,"Category2","Four-Year")</f>
        <v>3.272971450851276E-2</v>
      </c>
      <c r="L26" s="456">
        <f>+GETPIVOTDATA("Undergrad Student Credit Hour FTE - New",'FTE Pivot for regular counts'!$A$2,"State","TN","Category",6,"Category2","Four-Year")</f>
        <v>0</v>
      </c>
      <c r="M26" s="422">
        <f>+GETPIVOTDATA("Sum of New-HS % of Total",'Pivot-HS Student % of Undergrad'!$A$3,"State","TN","Category",6,"Category2","Four-Year")</f>
        <v>0</v>
      </c>
      <c r="N26" s="456">
        <f>+GETPIVOTDATA("Undergrad Student Credit Hour FTE - New",'FTE Pivot for regular counts'!$A$2,"State","TN","Category2","Four-Year")</f>
        <v>97470.233333333323</v>
      </c>
      <c r="O26" s="422">
        <f>+GETPIVOTDATA("Sum of New-HS % of Total",'Pivot-HS Student % of Undergrad'!$A$3,"State","TN","Category2","Group1")</f>
        <v>4.6250017526718416E-3</v>
      </c>
      <c r="Q26" s="1" t="s">
        <v>488</v>
      </c>
      <c r="R26" s="486">
        <f>+GETPIVOTDATA("Sum of Old-HS % of Total",'Pivot-HS Student % of Undergrad'!$A$3,"State","TN","Category",1,"Category2","Four-Year")</f>
        <v>1.424701750156533E-3</v>
      </c>
      <c r="S26" s="547">
        <f>+'Pivot-HS Student % of Undergrad'!W96*100</f>
        <v>-7.7027574942789036E-3</v>
      </c>
      <c r="T26" s="556">
        <f>+GETPIVOTDATA("Sum of Old-HS % of Total",'Pivot-HS Student % of Undergrad'!$A$3,"State","TN","Category",2,"Category2","Four-Year")</f>
        <v>3.897025550739223E-3</v>
      </c>
      <c r="U26" s="546">
        <f>+'Pivot-HS Student % of Undergrad'!X96*100</f>
        <v>0.1497271906234833</v>
      </c>
      <c r="V26" s="556">
        <f>+GETPIVOTDATA("Sum of Old-HS % of Total",'Pivot-HS Student % of Undergrad'!$A$3,"State","TN","Category",3,"Category2","Four-Year")</f>
        <v>1.9933113855765791E-3</v>
      </c>
      <c r="W26" s="547">
        <f>+'Pivot-HS Student % of Undergrad'!Y96*100</f>
        <v>4.8575290085406959E-2</v>
      </c>
      <c r="X26" s="556">
        <f>+GETPIVOTDATA("Sum of Old-HS % of Total",'Pivot-HS Student % of Undergrad'!$A$3,"State","TN","Category",4,"Category2","Four-Year")</f>
        <v>1.0510395037042733E-3</v>
      </c>
      <c r="Y26" s="546">
        <f>+'Pivot-HS Student % of Undergrad'!Z96*100</f>
        <v>0.19323703796344252</v>
      </c>
      <c r="Z26" s="556">
        <f>+GETPIVOTDATA("Sum of Old-HS % of Total",'Pivot-HS Student % of Undergrad'!$A$3,"State","TN","Category",5,"Category2","Four-Year")</f>
        <v>3.2528040936159353E-2</v>
      </c>
      <c r="AA26" s="547">
        <f>+'Pivot-HS Student % of Undergrad'!AA96*100</f>
        <v>2.0167357235340716E-2</v>
      </c>
      <c r="AB26" s="556">
        <f>+GETPIVOTDATA("Sum of Old-HS % of Total",'Pivot-HS Student % of Undergrad'!$A$3,"State","TN","Category",6,"Category2","Four-Year")</f>
        <v>0</v>
      </c>
      <c r="AC26" s="546" t="e">
        <f>+'Pivot-HS Student % of Undergrad'!AB96*100</f>
        <v>#VALUE!</v>
      </c>
      <c r="AD26" s="556">
        <f>+GETPIVOTDATA("Sum of Old-HS % of Total",'Pivot-HS Student % of Undergrad'!$A$3,"State","TN","Category2","Four-Year")</f>
        <v>3.9148426137327478E-3</v>
      </c>
      <c r="AE26" s="546">
        <f>+'Pivot-HS Student % of Undergrad'!AC96*100</f>
        <v>7.1015913893909391E-2</v>
      </c>
    </row>
    <row r="27" spans="1:31" ht="15" customHeight="1">
      <c r="A27" s="1" t="s">
        <v>489</v>
      </c>
      <c r="B27" s="5">
        <f>+GETPIVOTDATA("Undergrad Student Credit Hour FTE - New",'FTE Pivot for regular counts'!$A$2,"State","TX","Category",1,"Category2","Four-Year")</f>
        <v>162221.83333333334</v>
      </c>
      <c r="C27" s="487">
        <f>+GETPIVOTDATA("Sum of New-HS % of Total",'Pivot-HS Student % of Undergrad'!$A$3,"State","TX","Category",1,"Category2","Four-Year")</f>
        <v>9.3082414923597421E-5</v>
      </c>
      <c r="D27" s="456">
        <f>+GETPIVOTDATA("Undergrad Student Credit Hour FTE - New",'FTE Pivot for regular counts'!$A$2,"State","TX","Category",2,"Category2","Four-Year")</f>
        <v>19875.599999999999</v>
      </c>
      <c r="E27" s="422">
        <f>+GETPIVOTDATA("Sum of New-HS % of Total",'Pivot-HS Student % of Undergrad'!$A$3,"State","TX","Category",2,"Category2","Four-Year")</f>
        <v>1.6385249585756741E-3</v>
      </c>
      <c r="F27" s="456">
        <f>+GETPIVOTDATA("Undergrad Student Credit Hour FTE - New",'FTE Pivot for regular counts'!$A$2,"State","TX","Category",3,"Category2","Four-Year")</f>
        <v>142498.70000000001</v>
      </c>
      <c r="G27" s="422">
        <f>+GETPIVOTDATA("Sum of New-HS % of Total",'Pivot-HS Student % of Undergrad'!$A$3,"State","TX","Category",3,"Category2","Four-Year")</f>
        <v>2.5623625572256683E-3</v>
      </c>
      <c r="H27" s="456">
        <f>+GETPIVOTDATA("Undergrad Student Credit Hour FTE - New",'FTE Pivot for regular counts'!$A$2,"State","TX","Category",4,"Category2","Four-Year")</f>
        <v>9599.2666666666664</v>
      </c>
      <c r="I27" s="422">
        <f>+GETPIVOTDATA("Sum of New-HS % of Total",'Pivot-HS Student % of Undergrad'!$A$3,"State","TX","Category",4,"Category2","Four-Year")</f>
        <v>4.5503475959969161E-2</v>
      </c>
      <c r="J27" s="456">
        <f>+GETPIVOTDATA("Undergrad Student Credit Hour FTE - New",'FTE Pivot for regular counts'!$A$2,"State","TX","Category",5,"Category2","Four-Year")</f>
        <v>10193.566666666668</v>
      </c>
      <c r="K27" s="487">
        <f>+GETPIVOTDATA("Sum of New-HS % of Total",'Pivot-HS Student % of Undergrad'!$A$3,"State","TX","Category",5,"Category2","Four-Year")</f>
        <v>4.8069534052523323E-4</v>
      </c>
      <c r="L27" s="456">
        <f>+GETPIVOTDATA("Undergrad Student Credit Hour FTE - New",'FTE Pivot for regular counts'!$A$2,"State","TX","Category",6,"Category2","Four-Year")</f>
        <v>1482.7</v>
      </c>
      <c r="M27" s="422">
        <f>+GETPIVOTDATA("Sum of New-HS % of Total",'Pivot-HS Student % of Undergrad'!$A$3,"State","TX","Category",6,"Category2","Four-Year")</f>
        <v>0</v>
      </c>
      <c r="N27" s="456">
        <f>+GETPIVOTDATA("Undergrad Student Credit Hour FTE - New",'FTE Pivot for regular counts'!$A$2,"State","TX","Category2","Four-Year")</f>
        <v>345871.66666666669</v>
      </c>
      <c r="O27" s="422">
        <f>+GETPIVOTDATA("Sum of New-HS % of Total",'Pivot-HS Student % of Undergrad'!$A$3,"State","TX","Category2","Group1")</f>
        <v>2.4705695272331258E-3</v>
      </c>
      <c r="Q27" s="1" t="s">
        <v>489</v>
      </c>
      <c r="R27" s="643">
        <f>+GETPIVOTDATA("Sum of Old-HS % of Total",'Pivot-HS Student % of Undergrad'!$A$3,"State","TX","Category",1,"Category2","Four-Year")</f>
        <v>3.7968865947163611E-5</v>
      </c>
      <c r="S27" s="547">
        <f>+'Pivot-HS Student % of Undergrad'!W103*100</f>
        <v>5.5113548976433811E-3</v>
      </c>
      <c r="T27" s="556">
        <f>+GETPIVOTDATA("Sum of Old-HS % of Total",'Pivot-HS Student % of Undergrad'!$A$3,"State","TX","Category",2,"Category2","Four-Year")</f>
        <v>1.7546874731469229E-3</v>
      </c>
      <c r="U27" s="547">
        <f>+'Pivot-HS Student % of Undergrad'!X103*100</f>
        <v>-1.1616251457124884E-2</v>
      </c>
      <c r="V27" s="556">
        <f>+GETPIVOTDATA("Sum of Old-HS % of Total",'Pivot-HS Student % of Undergrad'!$A$3,"State","TX","Category",3,"Category2","Four-Year")</f>
        <v>2.5274165486574981E-3</v>
      </c>
      <c r="W27" s="560">
        <f>+'Pivot-HS Student % of Undergrad'!Y103*100</f>
        <v>3.4946008568170154E-3</v>
      </c>
      <c r="X27" s="556">
        <f>+GETPIVOTDATA("Sum of Old-HS % of Total",'Pivot-HS Student % of Undergrad'!$A$3,"State","TX","Category",4,"Category2","Four-Year")</f>
        <v>3.0791607931409684E-2</v>
      </c>
      <c r="Y27" s="546">
        <f>+'Pivot-HS Student % of Undergrad'!Z103*100</f>
        <v>1.4711868028559478</v>
      </c>
      <c r="Z27" s="644">
        <f>+GETPIVOTDATA("Sum of Old-HS % of Total",'Pivot-HS Student % of Undergrad'!$A$3,"State","TX","Category",5,"Category2","Four-Year")</f>
        <v>1.4282508008406277E-4</v>
      </c>
      <c r="AA27" s="547">
        <f>+'Pivot-HS Student % of Undergrad'!AA103*100</f>
        <v>3.3787026044117048E-2</v>
      </c>
      <c r="AB27" s="556">
        <f>+GETPIVOTDATA("Sum of Old-HS % of Total",'Pivot-HS Student % of Undergrad'!$A$3,"State","TX","Category",6,"Category2","Four-Year")</f>
        <v>0</v>
      </c>
      <c r="AC27" s="547" t="e">
        <f>+'Pivot-HS Student % of Undergrad'!AB103*100</f>
        <v>#VALUE!</v>
      </c>
      <c r="AD27" s="556">
        <f>+GETPIVOTDATA("Sum of Old-HS % of Total",'Pivot-HS Student % of Undergrad'!$A$3,"State","TX","Category2","Four-Year")</f>
        <v>1.9780652142796801E-3</v>
      </c>
      <c r="AE27" s="547">
        <f>+'Pivot-HS Student % of Undergrad'!AC103*100</f>
        <v>4.9250431295344566E-2</v>
      </c>
    </row>
    <row r="28" spans="1:31" ht="15" customHeight="1">
      <c r="A28" s="1" t="s">
        <v>490</v>
      </c>
      <c r="B28" s="5">
        <f>+GETPIVOTDATA("Undergrad Student Credit Hour FTE - New",'FTE Pivot for regular counts'!$A$2,"State","VA","Category",1,"Category2","Four-Year")</f>
        <v>56209.066666666666</v>
      </c>
      <c r="C28" s="487">
        <f>+GETPIVOTDATA("Sum of New-HS % of Total",'Pivot-HS Student % of Undergrad'!$A$3,"State","VA","Category",1,"Category2","Four-Year")</f>
        <v>3.2853537270381055E-4</v>
      </c>
      <c r="D28" s="456">
        <f>+GETPIVOTDATA("Undergrad Student Credit Hour FTE - New",'FTE Pivot for regular counts'!$A$2,"State","VA","Category",2,"Category2","Four-Year")</f>
        <v>40187.466666666667</v>
      </c>
      <c r="E28" s="422">
        <f>+GETPIVOTDATA("Sum of New-HS % of Total",'Pivot-HS Student % of Undergrad'!$A$3,"State","VA","Category",2,"Category2","Four-Year")</f>
        <v>2.422811755572218E-3</v>
      </c>
      <c r="F28" s="456">
        <f>+GETPIVOTDATA("Undergrad Student Credit Hour FTE - New",'FTE Pivot for regular counts'!$A$2,"State","VA","Category",3,"Category2","Four-Year")</f>
        <v>24689.1</v>
      </c>
      <c r="G28" s="422">
        <f>+GETPIVOTDATA("Sum of New-HS % of Total",'Pivot-HS Student % of Undergrad'!$A$3,"State","VA","Category",3,"Category2","Four-Year")</f>
        <v>1.3852266789797928E-3</v>
      </c>
      <c r="H28" s="456">
        <f>+GETPIVOTDATA("Undergrad Student Credit Hour FTE - New",'FTE Pivot for regular counts'!$A$2,"State","VA","Category",4,"Category2","Four-Year")</f>
        <v>13539.5</v>
      </c>
      <c r="I28" s="487">
        <f>+GETPIVOTDATA("Sum of New-HS % of Total",'Pivot-HS Student % of Undergrad'!$A$3,"State","VA","Category",4,"Category2","Four-Year")</f>
        <v>3.2743700530546427E-4</v>
      </c>
      <c r="J28" s="456">
        <f>+GETPIVOTDATA("Undergrad Student Credit Hour FTE - New",'FTE Pivot for regular counts'!$A$2,"State","VA","Category",5,"Category2","Four-Year")</f>
        <v>7907.6</v>
      </c>
      <c r="K28" s="487">
        <f>+GETPIVOTDATA("Sum of New-HS % of Total",'Pivot-HS Student % of Undergrad'!$A$3,"State","VA","Category",5,"Category2","Four-Year")</f>
        <v>1.6861416021717504E-4</v>
      </c>
      <c r="L28" s="456">
        <f>+GETPIVOTDATA("Undergrad Student Credit Hour FTE - New",'FTE Pivot for regular counts'!$A$2,"State","VA","Category",6,"Category2","Four-Year")</f>
        <v>1624.3</v>
      </c>
      <c r="M28" s="422">
        <f>+GETPIVOTDATA("Sum of New-HS % of Total",'Pivot-HS Student % of Undergrad'!$A$3,"State","VA","Category",6,"Category2","Four-Year")</f>
        <v>1.72381949147325E-3</v>
      </c>
      <c r="N28" s="456">
        <f>+GETPIVOTDATA("Undergrad Student Credit Hour FTE - New",'FTE Pivot for regular counts'!$A$2,"State","VA","Category2","Four-Year")</f>
        <v>144157.03333333333</v>
      </c>
      <c r="O28" s="422">
        <f>+GETPIVOTDATA("Sum of New-HS % of Total",'Pivot-HS Student % of Undergrad'!$A$3,"State","VA","Category2","Group1")</f>
        <v>1.1001891224639057E-3</v>
      </c>
      <c r="Q28" s="25" t="s">
        <v>490</v>
      </c>
      <c r="R28" s="486">
        <f>+GETPIVOTDATA("Sum of Old-HS % of Total",'Pivot-HS Student % of Undergrad'!$A$3,"State","VA","Category",1,"Category2","Four-Year")</f>
        <v>0</v>
      </c>
      <c r="S28" s="547" t="e">
        <f>+'Pivot-HS Student % of Undergrad'!W110*100</f>
        <v>#VALUE!</v>
      </c>
      <c r="T28" s="556">
        <f>+GETPIVOTDATA("Sum of Old-HS % of Total",'Pivot-HS Student % of Undergrad'!$A$3,"State","VA","Category",2,"Category2","Four-Year")</f>
        <v>2.1461207084112963E-3</v>
      </c>
      <c r="U28" s="547">
        <f>+'Pivot-HS Student % of Undergrad'!X110*100</f>
        <v>2.7669104716092179E-2</v>
      </c>
      <c r="V28" s="556">
        <f>+GETPIVOTDATA("Sum of Old-HS % of Total",'Pivot-HS Student % of Undergrad'!$A$3,"State","VA","Category",3,"Category2","Four-Year")</f>
        <v>1.9498465322062045E-3</v>
      </c>
      <c r="W28" s="546">
        <f>+'Pivot-HS Student % of Undergrad'!Y110*100</f>
        <v>-5.6461985322641177E-2</v>
      </c>
      <c r="X28" s="644">
        <f>+GETPIVOTDATA("Sum of Old-HS % of Total",'Pivot-HS Student % of Undergrad'!$A$3,"State","VA","Category",4,"Category2","Four-Year")</f>
        <v>3.7172031663585629E-4</v>
      </c>
      <c r="Y28" s="560">
        <f>+'Pivot-HS Student % of Undergrad'!Z110*100</f>
        <v>-4.4283311330392018E-3</v>
      </c>
      <c r="Z28" s="644">
        <f>+GETPIVOTDATA("Sum of Old-HS % of Total",'Pivot-HS Student % of Undergrad'!$A$3,"State","VA","Category",5,"Category2","Four-Year")</f>
        <v>2.6625755981285899E-4</v>
      </c>
      <c r="AA28" s="547">
        <f>+'Pivot-HS Student % of Undergrad'!AA110*100</f>
        <v>-9.7643399595683956E-3</v>
      </c>
      <c r="AB28" s="556">
        <f>+GETPIVOTDATA("Sum of Old-HS % of Total",'Pivot-HS Student % of Undergrad'!$A$3,"State","VA","Category",6,"Category2","Four-Year")</f>
        <v>2.7848504137492044E-4</v>
      </c>
      <c r="AC28" s="546">
        <f>+'Pivot-HS Student % of Undergrad'!AB110*100</f>
        <v>0.14453344500983295</v>
      </c>
      <c r="AD28" s="556">
        <f>+GETPIVOTDATA("Sum of Old-HS % of Total",'Pivot-HS Student % of Undergrad'!$A$3,"State","VA","Category2","Four-Year")</f>
        <v>9.7554523253918298E-4</v>
      </c>
      <c r="AE28" s="547">
        <f>+'Pivot-HS Student % of Undergrad'!AC110*100</f>
        <v>1.2464388992472269E-2</v>
      </c>
    </row>
    <row r="29" spans="1:31" s="25" customFormat="1" ht="15" customHeight="1">
      <c r="A29" s="3" t="s">
        <v>491</v>
      </c>
      <c r="B29" s="6">
        <f>+GETPIVOTDATA("Undergrad Student Credit Hour FTE - New",'FTE Pivot for regular counts'!$A$2,"State","WV","Category",1,"Category2","Four-Year")</f>
        <v>20961.966666666667</v>
      </c>
      <c r="C29" s="423">
        <f>+GETPIVOTDATA("Sum of New-HS % of Total",'Pivot-HS Student % of Undergrad'!$A$3,"State","WV","Category",1,"Category2","Four-Year")</f>
        <v>4.12334084429101E-3</v>
      </c>
      <c r="D29" s="457">
        <f>+GETPIVOTDATA("Undergrad Student Credit Hour FTE - New",'FTE Pivot for regular counts'!$A$2,"State","WV","Category",2,"Category2","Four-Year")</f>
        <v>0</v>
      </c>
      <c r="E29" s="423">
        <f>+GETPIVOTDATA("Sum of New-HS % of Total",'Pivot-HS Student % of Undergrad'!$A$3,"State","WV","Category",2,"Category2","Four-Year")</f>
        <v>0</v>
      </c>
      <c r="F29" s="457">
        <f>+GETPIVOTDATA("Undergrad Student Credit Hour FTE - New",'FTE Pivot for regular counts'!$A$2,"State","WV","Category",3,"Category2","Four-Year")</f>
        <v>8260.2333333333336</v>
      </c>
      <c r="G29" s="423">
        <f>+GETPIVOTDATA("Sum of New-HS % of Total",'Pivot-HS Student % of Undergrad'!$A$3,"State","WV","Category",3,"Category2","Four-Year")</f>
        <v>1.5479788706533713E-2</v>
      </c>
      <c r="H29" s="457">
        <f>+GETPIVOTDATA("Undergrad Student Credit Hour FTE - New",'FTE Pivot for regular counts'!$A$2,"State","WV","Category",4,"Category2","Four-Year")</f>
        <v>0</v>
      </c>
      <c r="I29" s="423">
        <f>+GETPIVOTDATA("Sum of Old-HS % of Total",'Pivot-HS Student % of Undergrad'!$A$3,"State","WV","Category",4,"Category2","Four-Year")</f>
        <v>0</v>
      </c>
      <c r="J29" s="457">
        <f>+GETPIVOTDATA("Undergrad Student Credit Hour FTE - New",'FTE Pivot for regular counts'!$A$2,"State","WV","Category",5,"Category2","Four-Year")</f>
        <v>0</v>
      </c>
      <c r="K29" s="641">
        <f>+GETPIVOTDATA("Sum of New-HS % of Total",'Pivot-HS Student % of Undergrad'!$A$3,"State","WV","Category",5,"Category2","Four-Year")</f>
        <v>0</v>
      </c>
      <c r="L29" s="457">
        <f>+GETPIVOTDATA("Undergrad Student Credit Hour FTE - New",'FTE Pivot for regular counts'!$A$2,"State","WV","Category",6,"Category2","Four-Year")</f>
        <v>18645.203333333331</v>
      </c>
      <c r="M29" s="423">
        <f>+GETPIVOTDATA("Sum of Old-HS % of Total",'Pivot-HS Student % of Undergrad'!$A$3,"Category",6,"Category2","Four-Year")</f>
        <v>1.3994020693004518E-2</v>
      </c>
      <c r="N29" s="457">
        <f>+GETPIVOTDATA("Undergrad Student Credit Hour FTE - New",'FTE Pivot for regular counts'!$A$2,"State","WV","Category2","Four-Year")</f>
        <v>47867.403333333335</v>
      </c>
      <c r="O29" s="423">
        <f>+GETPIVOTDATA("Sum of New-HS % of Total",'Pivot-HS Student % of Undergrad'!$A$3,"State","WV","Category2","Group1")</f>
        <v>1.0084106644319749E-2</v>
      </c>
      <c r="Q29" s="3" t="s">
        <v>491</v>
      </c>
      <c r="R29" s="489">
        <f>+GETPIVOTDATA("Sum of Old-HS % of Total",'Pivot-HS Student % of Undergrad'!$A$3,"State","WV","Category",1,"Category2","Four-Year")</f>
        <v>4.2497526943301922E-3</v>
      </c>
      <c r="S29" s="559">
        <f>+'Pivot-HS Student % of Undergrad'!W117*100</f>
        <v>-1.2641185003918216E-2</v>
      </c>
      <c r="T29" s="557">
        <f>+GETPIVOTDATA("Sum of Old-HS % of Total",'Pivot-HS Student % of Undergrad'!$A$3,"State","WV","Category",2,"Category2","Four-Year")</f>
        <v>0</v>
      </c>
      <c r="U29" s="555" t="e">
        <f>+'Pivot-HS Student % of Undergrad'!X117*100</f>
        <v>#VALUE!</v>
      </c>
      <c r="V29" s="557">
        <f>+GETPIVOTDATA("Sum of Old-HS % of Total",'Pivot-HS Student % of Undergrad'!$A$3,"State","WV","Category",3,"Category2","Four-Year")</f>
        <v>1.7268234296290718E-2</v>
      </c>
      <c r="W29" s="555">
        <f>+'Pivot-HS Student % of Undergrad'!Y117*100</f>
        <v>-0.17884455897570051</v>
      </c>
      <c r="X29" s="557">
        <f>+GETPIVOTDATA("Sum of Old-HS % of Total",'Pivot-HS Student % of Undergrad'!$A$3,"State","WV","Category",4,"Category2","Four-Year")</f>
        <v>0</v>
      </c>
      <c r="Y29" s="555" t="e">
        <f>+'Pivot-HS Student % of Undergrad'!Z117*100</f>
        <v>#VALUE!</v>
      </c>
      <c r="Z29" s="557">
        <f>+GETPIVOTDATA("Sum of New-HS % of Total",'Pivot-HS Student % of Undergrad'!$A$3,"State","VA","Category",5,"Category2","Four-Year")</f>
        <v>1.6861416021717504E-4</v>
      </c>
      <c r="AA29" s="555" t="e">
        <f>+'Pivot-HS Student % of Undergrad'!AA117*100</f>
        <v>#VALUE!</v>
      </c>
      <c r="AB29" s="557">
        <f>+GETPIVOTDATA("Sum of New-HS % of Total",'Pivot-HS Student % of Undergrad'!$A$3,"State","VA","Category",6,"Category2","Four-Year")</f>
        <v>1.72381949147325E-3</v>
      </c>
      <c r="AC29" s="555">
        <f>+'Pivot-HS Student % of Undergrad'!AB117*100</f>
        <v>-0.19403023005365502</v>
      </c>
      <c r="AD29" s="557">
        <f>+GETPIVOTDATA("Sum of Old-HS % of Total",'Pivot-HS Student % of Undergrad'!$A$3,"State","WV","Category2","Four-Year")</f>
        <v>1.127389845159644E-2</v>
      </c>
      <c r="AE29" s="555">
        <f>+'Pivot-HS Student % of Undergrad'!AC117*100</f>
        <v>-0.11897918072766908</v>
      </c>
    </row>
    <row r="30" spans="1:31" ht="23.25" customHeight="1">
      <c r="A30" s="680" t="s">
        <v>104</v>
      </c>
      <c r="B30" s="682"/>
      <c r="C30" s="682"/>
      <c r="D30" s="682"/>
      <c r="E30" s="682"/>
      <c r="F30" s="682"/>
      <c r="G30" s="682"/>
      <c r="H30" s="682"/>
      <c r="I30" s="683"/>
      <c r="J30" s="683"/>
      <c r="K30" s="683"/>
      <c r="L30" s="683"/>
      <c r="M30" s="683"/>
      <c r="N30" s="683"/>
      <c r="O30" s="683"/>
    </row>
    <row r="31" spans="1:31">
      <c r="A31" s="50"/>
      <c r="B31" s="51"/>
      <c r="C31" s="51"/>
      <c r="D31" s="51"/>
      <c r="E31" s="51"/>
      <c r="F31" s="51"/>
      <c r="G31" s="51"/>
      <c r="H31" s="1"/>
      <c r="J31" s="148"/>
      <c r="K31" s="148"/>
      <c r="L31" s="148"/>
      <c r="M31" s="463"/>
      <c r="N31" s="49"/>
      <c r="O31" s="424" t="s">
        <v>950</v>
      </c>
    </row>
    <row r="32" spans="1:31" ht="18">
      <c r="A32" s="42" t="s">
        <v>422</v>
      </c>
      <c r="B32" s="44"/>
      <c r="C32" s="44"/>
      <c r="D32" s="44"/>
      <c r="E32" s="44"/>
      <c r="F32" s="52"/>
      <c r="G32" s="44"/>
      <c r="H32" s="134"/>
      <c r="I32" s="51"/>
      <c r="J32" s="148"/>
      <c r="K32" s="148"/>
      <c r="L32" s="148"/>
      <c r="M32" s="463"/>
      <c r="N32" s="49"/>
    </row>
    <row r="33" spans="1:14" ht="15.75">
      <c r="A33" s="44"/>
      <c r="B33" s="44"/>
      <c r="C33" s="44"/>
      <c r="D33" s="44"/>
      <c r="E33" s="44"/>
      <c r="F33" s="44"/>
      <c r="G33" s="44"/>
      <c r="H33" s="134"/>
      <c r="I33" s="51"/>
      <c r="J33" s="148"/>
      <c r="K33" s="148"/>
      <c r="L33" s="148"/>
      <c r="M33" s="463"/>
      <c r="N33" s="49"/>
    </row>
    <row r="34" spans="1:14" ht="15.75">
      <c r="A34" s="44" t="s">
        <v>432</v>
      </c>
      <c r="B34" s="44"/>
      <c r="C34" s="44"/>
      <c r="D34" s="44"/>
      <c r="E34" s="44"/>
      <c r="F34" s="44"/>
      <c r="G34" s="44"/>
      <c r="H34" s="134"/>
      <c r="I34" s="51"/>
      <c r="J34" s="148"/>
      <c r="K34" s="148"/>
      <c r="L34" s="148"/>
      <c r="M34" s="463"/>
      <c r="N34" s="49"/>
    </row>
    <row r="35" spans="1:14" ht="15.75">
      <c r="A35" s="44" t="s">
        <v>69</v>
      </c>
      <c r="B35" s="44"/>
      <c r="C35" s="44"/>
      <c r="D35" s="44"/>
      <c r="E35" s="44"/>
      <c r="F35" s="44"/>
      <c r="G35" s="44"/>
      <c r="H35" s="134"/>
    </row>
    <row r="37" spans="1:14" ht="15" customHeight="1">
      <c r="A37" s="53"/>
      <c r="B37" s="53" t="s">
        <v>474</v>
      </c>
      <c r="C37" s="53"/>
      <c r="D37" s="53"/>
      <c r="E37" s="53"/>
      <c r="F37" s="53"/>
      <c r="G37" s="53"/>
      <c r="H37" s="135"/>
    </row>
    <row r="38" spans="1:14" ht="15" customHeight="1">
      <c r="A38" s="54"/>
      <c r="B38" s="47">
        <v>1</v>
      </c>
      <c r="C38" s="47">
        <v>2</v>
      </c>
      <c r="D38" s="47">
        <v>3</v>
      </c>
      <c r="E38" s="47">
        <v>4</v>
      </c>
      <c r="F38" s="47">
        <v>5</v>
      </c>
      <c r="G38" s="55">
        <v>6</v>
      </c>
      <c r="H38" s="117" t="s">
        <v>425</v>
      </c>
    </row>
    <row r="39" spans="1:14" ht="15" customHeight="1">
      <c r="A39" s="1" t="s">
        <v>476</v>
      </c>
      <c r="B39" s="11">
        <f>+GETPIVOTDATA("Graduate FTE - New",'FTE Pivot for regular counts'!$A$2,"Category",1,"Category2","Four-Year")</f>
        <v>185175.18333333335</v>
      </c>
      <c r="C39" s="11">
        <f>+GETPIVOTDATA("Graduate FTE - New",'FTE Pivot for regular counts'!$A$2,"Category",2,"Category2","Four-Year")</f>
        <v>52738.708333333328</v>
      </c>
      <c r="D39" s="11">
        <f>+GETPIVOTDATA("Graduate FTE - New",'FTE Pivot for regular counts'!$A$2,"Category",3,"Category2","Four-Year")</f>
        <v>76980.416666666672</v>
      </c>
      <c r="E39" s="11">
        <f>+GETPIVOTDATA("Graduate FTE - New",'FTE Pivot for regular counts'!$A$2,"Category",4,"Category2","Four-Year")</f>
        <v>26922.4375</v>
      </c>
      <c r="F39" s="11">
        <f>+GETPIVOTDATA("Graduate FTE - New",'FTE Pivot for regular counts'!$A$2,"Category",5,"Category2","Four-Year")</f>
        <v>11026.333333333332</v>
      </c>
      <c r="G39" s="12">
        <f>+GETPIVOTDATA("Graduate FTE - New",'FTE Pivot for regular counts'!$A$2,"Category",6,"Category2","Four-Year")</f>
        <v>878.875</v>
      </c>
      <c r="H39" s="136">
        <f>+GETPIVOTDATA("Graduate FTE - New",'FTE Pivot for regular counts'!$A$2,"Category2","Four-Year")</f>
        <v>353721.9541666666</v>
      </c>
    </row>
    <row r="40" spans="1:14" ht="15" customHeight="1">
      <c r="B40" s="11"/>
      <c r="C40" s="11"/>
      <c r="D40" s="11"/>
      <c r="E40" s="11"/>
      <c r="F40" s="11"/>
      <c r="G40" s="12"/>
      <c r="H40" s="136"/>
    </row>
    <row r="41" spans="1:14" ht="15" customHeight="1">
      <c r="A41" s="1" t="s">
        <v>477</v>
      </c>
      <c r="B41" s="34">
        <f>+GETPIVOTDATA("Graduate FTE - New",'FTE Pivot for regular counts'!$A$2,"State","AL","Category",1,"Category2","Four-Year")</f>
        <v>8986.75</v>
      </c>
      <c r="C41" s="34">
        <f>+GETPIVOTDATA("Graduate FTE - New",'FTE Pivot for regular counts'!$A$2,"State","AL","Category",2,"Category2","Four-Year")</f>
        <v>885.25</v>
      </c>
      <c r="D41" s="34">
        <f>+GETPIVOTDATA("Graduate FTE - New",'FTE Pivot for regular counts'!$A$2,"State","AL","Category",3,"Category2","Four-Year")</f>
        <v>2491.5833333333335</v>
      </c>
      <c r="E41" s="34">
        <f>+GETPIVOTDATA("Graduate FTE - New",'FTE Pivot for regular counts'!$A$2,"State","AL","Category",4,"Category2","Four-Year")</f>
        <v>4450.708333333333</v>
      </c>
      <c r="F41" s="34">
        <f>+GETPIVOTDATA("Graduate FTE - New",'FTE Pivot for regular counts'!$A$2,"State","AL","Category",5,"Category2","Four-Year")</f>
        <v>2064.708333333333</v>
      </c>
      <c r="G41" s="12">
        <f>+GETPIVOTDATA("Graduate FTE - New",'FTE Pivot for regular counts'!$A$2,"State","AL","Category",6,"Category2","Four-Year")</f>
        <v>0</v>
      </c>
      <c r="H41" s="137">
        <f>+GETPIVOTDATA("Graduate FTE - New",'FTE Pivot for regular counts'!$A$2,"State","AL","Category2","Four-Year")</f>
        <v>18879</v>
      </c>
    </row>
    <row r="42" spans="1:14" ht="15" customHeight="1">
      <c r="A42" s="4" t="s">
        <v>478</v>
      </c>
      <c r="B42" s="34">
        <f>+GETPIVOTDATA("Graduate FTE - New",'FTE Pivot for regular counts'!$A$2,"State","AR","Category",1,"Category2","Four-Year")</f>
        <v>2907.0416666666665</v>
      </c>
      <c r="C42" s="34">
        <f>+GETPIVOTDATA("Graduate FTE - New",'FTE Pivot for regular counts'!$A$2,"State","AR","Category",2,"Category2","Four-Year")</f>
        <v>0</v>
      </c>
      <c r="D42" s="34">
        <f>+GETPIVOTDATA("Graduate FTE - New",'FTE Pivot for regular counts'!$A$2,"State","AR","Category",3,"Category2","Four-Year")</f>
        <v>4700.458333333333</v>
      </c>
      <c r="E42" s="34">
        <f>+GETPIVOTDATA("Graduate FTE - New",'FTE Pivot for regular counts'!$A$2,"State","AR","Category",4,"Category2","Four-Year")</f>
        <v>874.45833333333326</v>
      </c>
      <c r="F42" s="34">
        <f>+GETPIVOTDATA("Graduate FTE - New",'FTE Pivot for regular counts'!$A$2,"State","AR","Category",5,"Category2","Four-Year")</f>
        <v>401.04166666666669</v>
      </c>
      <c r="G42" s="12">
        <f>+GETPIVOTDATA("Graduate FTE - New",'FTE Pivot for regular counts'!$A$2,"State","AR","Category",6,"Category2","Four-Year")</f>
        <v>85.25</v>
      </c>
      <c r="H42" s="137">
        <f>+GETPIVOTDATA("Graduate FTE - New",'FTE Pivot for regular counts'!$A$2,"State","AR","Category2","Four-Year")</f>
        <v>8968.25</v>
      </c>
    </row>
    <row r="43" spans="1:14" ht="15" customHeight="1">
      <c r="A43" s="1" t="s">
        <v>515</v>
      </c>
      <c r="B43" s="34">
        <f>+GETPIVOTDATA("Graduate FTE - New",'FTE Pivot for regular counts'!$A$2,"State","DE","Category",1,"Category2","Four-Year")</f>
        <v>2068.125</v>
      </c>
      <c r="C43" s="34">
        <f>+GETPIVOTDATA("Graduate FTE - New",'FTE Pivot for regular counts'!$A$2,"State","DE","Category",2,"Category2","Four-Year")</f>
        <v>0</v>
      </c>
      <c r="D43" s="34">
        <f>+GETPIVOTDATA("Graduate FTE - New",'FTE Pivot for regular counts'!$A$2,"State","DE","Category",3,"Category2","Four-Year")</f>
        <v>0</v>
      </c>
      <c r="E43" s="34">
        <f>+GETPIVOTDATA("Graduate FTE - New",'FTE Pivot for regular counts'!$A$2,"State","DE","Category",4,"Category2","Four-Year")</f>
        <v>294.79166666666669</v>
      </c>
      <c r="F43" s="34">
        <f>+GETPIVOTDATA("Graduate FTE - New",'FTE Pivot for regular counts'!$A$2,"State","DE","Category",5,"Category2","Four-Year")</f>
        <v>0</v>
      </c>
      <c r="G43" s="12">
        <f>+GETPIVOTDATA("Graduate FTE - New",'FTE Pivot for regular counts'!$A$2,"State","DE","Category",6,"Category2","Four-Year")</f>
        <v>0</v>
      </c>
      <c r="H43" s="137">
        <f>+GETPIVOTDATA("Graduate FTE - New",'FTE Pivot for regular counts'!$A$2,"State","DE","Category2","Four-Year")</f>
        <v>2362.9166666666665</v>
      </c>
      <c r="N43" s="119"/>
    </row>
    <row r="44" spans="1:14" ht="15" customHeight="1">
      <c r="A44" s="1" t="s">
        <v>479</v>
      </c>
      <c r="B44" s="34">
        <f>+GETPIVOTDATA("Graduate FTE - New",'FTE Pivot for regular counts'!$A$2,"State","FL","Category",1,"Category2","Four-Year")</f>
        <v>32028.666666666668</v>
      </c>
      <c r="C44" s="34">
        <f>+GETPIVOTDATA("Graduate FTE - New",'FTE Pivot for regular counts'!$A$2,"State","FL","Category",2,"Category2","Four-Year")</f>
        <v>8022.1666666666661</v>
      </c>
      <c r="D44" s="34">
        <f>+GETPIVOTDATA("Graduate FTE - New",'FTE Pivot for regular counts'!$A$2,"State","FL","Category",3,"Category2","Four-Year")</f>
        <v>4228.375</v>
      </c>
      <c r="E44" s="34">
        <f>+GETPIVOTDATA("Graduate FTE - New",'FTE Pivot for regular counts'!$A$2,"State","FL","Category",4,"Category2","Four-Year")</f>
        <v>785</v>
      </c>
      <c r="F44" s="34">
        <f>+GETPIVOTDATA("Graduate FTE - New",'FTE Pivot for regular counts'!$A$2,"State","FL","Category",5,"Category2","Four-Year")</f>
        <v>0</v>
      </c>
      <c r="G44" s="12">
        <f>+GETPIVOTDATA("Graduate FTE - New",'FTE Pivot for regular counts'!$A$2,"State","FL","Category",6,"Category2","Four-Year")</f>
        <v>0</v>
      </c>
      <c r="H44" s="137">
        <f>+GETPIVOTDATA("Graduate FTE - New",'FTE Pivot for regular counts'!$A$2,"State","FL","Category2","Four-Year")</f>
        <v>45064.208333333336</v>
      </c>
    </row>
    <row r="45" spans="1:14" ht="15" customHeight="1">
      <c r="B45" s="34"/>
      <c r="C45" s="34"/>
      <c r="D45" s="34"/>
      <c r="E45" s="34"/>
      <c r="F45" s="34"/>
      <c r="G45" s="12"/>
      <c r="H45" s="137"/>
    </row>
    <row r="46" spans="1:14" ht="15" customHeight="1">
      <c r="A46" s="1" t="s">
        <v>480</v>
      </c>
      <c r="B46" s="34">
        <f>+GETPIVOTDATA("Graduate FTE - New",'FTE Pivot for regular counts'!$A$2,"State","GA","Category",1,"Category2","Four-Year")</f>
        <v>17813.954166666666</v>
      </c>
      <c r="C46" s="34">
        <f>+GETPIVOTDATA("Graduate FTE - New",'FTE Pivot for regular counts'!$A$2,"State","GA","Category",2,"Category2","Four-Year")</f>
        <v>9080.2083333333339</v>
      </c>
      <c r="D46" s="34">
        <f>+GETPIVOTDATA("Graduate FTE - New",'FTE Pivot for regular counts'!$A$2,"State","GA","Category",3,"Category2","Four-Year")</f>
        <v>4084.041666666667</v>
      </c>
      <c r="E46" s="34">
        <f>+GETPIVOTDATA("Graduate FTE - New",'FTE Pivot for regular counts'!$A$2,"State","GA","Category",4,"Category2","Four-Year")</f>
        <v>4240.2916666666661</v>
      </c>
      <c r="F46" s="34">
        <f>+GETPIVOTDATA("Graduate FTE - New",'FTE Pivot for regular counts'!$A$2,"State","GA","Category",5,"Category2","Four-Year")</f>
        <v>1647.9166666666667</v>
      </c>
      <c r="G46" s="12">
        <f>+GETPIVOTDATA("Graduate FTE - New",'FTE Pivot for regular counts'!$A$2,"State","GA","Category",6,"Category2","Four-Year")</f>
        <v>104.16666666666667</v>
      </c>
      <c r="H46" s="137">
        <f>+GETPIVOTDATA("Graduate FTE - New",'FTE Pivot for regular counts'!$A$2,"State","GA","Category2","Four-Year")</f>
        <v>36970.579166666663</v>
      </c>
    </row>
    <row r="47" spans="1:14" ht="15" customHeight="1">
      <c r="A47" s="1" t="s">
        <v>481</v>
      </c>
      <c r="B47" s="34">
        <f>+GETPIVOTDATA("Graduate FTE - New",'FTE Pivot for regular counts'!$A$2,"State","KY","Category",1,"Category2","Four-Year")</f>
        <v>6697.75</v>
      </c>
      <c r="C47" s="34">
        <f>+GETPIVOTDATA("Graduate FTE - New",'FTE Pivot for regular counts'!$A$2,"State","KY","Category",2,"Category2","Four-Year")</f>
        <v>0</v>
      </c>
      <c r="D47" s="34">
        <f>+GETPIVOTDATA("Graduate FTE - New",'FTE Pivot for regular counts'!$A$2,"State","KY","Category",3,"Category2","Four-Year")</f>
        <v>4786.875</v>
      </c>
      <c r="E47" s="34">
        <f>+GETPIVOTDATA("Graduate FTE - New",'FTE Pivot for regular counts'!$A$2,"State","KY","Category",4,"Category2","Four-Year")</f>
        <v>2506.875</v>
      </c>
      <c r="F47" s="34">
        <f>+GETPIVOTDATA("Graduate FTE - New",'FTE Pivot for regular counts'!$A$2,"State","KY","Category",5,"Category2","Four-Year")</f>
        <v>111.08333333333333</v>
      </c>
      <c r="G47" s="12">
        <f>+GETPIVOTDATA("Graduate FTE - New",'FTE Pivot for regular counts'!$A$2,"State","KY","Category",6,"Category2","Four-Year")</f>
        <v>0</v>
      </c>
      <c r="H47" s="137">
        <f>+GETPIVOTDATA("Graduate FTE - New",'FTE Pivot for regular counts'!$A$2,"State","KY","Category2","Four-Year")</f>
        <v>14102.583333333334</v>
      </c>
    </row>
    <row r="48" spans="1:14" ht="15" customHeight="1">
      <c r="A48" s="1" t="s">
        <v>482</v>
      </c>
      <c r="B48" s="34">
        <f>+GETPIVOTDATA("Graduate FTE - New",'FTE Pivot for regular counts'!$A$2,"State","LA","Category",1,"Category2","Four-Year")</f>
        <v>4441.145833333333</v>
      </c>
      <c r="C48" s="34">
        <f>+GETPIVOTDATA("Graduate FTE - New",'FTE Pivot for regular counts'!$A$2,"State","LA","Category",2,"Category2","Four-Year")</f>
        <v>3806.0833333333335</v>
      </c>
      <c r="D48" s="34">
        <f>+GETPIVOTDATA("Graduate FTE - New",'FTE Pivot for regular counts'!$A$2,"State","LA","Category",3,"Category2","Four-Year")</f>
        <v>2904.458333333333</v>
      </c>
      <c r="E48" s="34">
        <f>+GETPIVOTDATA("Graduate FTE - New",'FTE Pivot for regular counts'!$A$2,"State","LA","Category",4,"Category2","Four-Year")</f>
        <v>2330.8333333333335</v>
      </c>
      <c r="F48" s="34">
        <f>+GETPIVOTDATA("Graduate FTE - New",'FTE Pivot for regular counts'!$A$2,"State","LA","Category",5,"Category2","Four-Year")</f>
        <v>399.95833333333331</v>
      </c>
      <c r="G48" s="12">
        <f>+GETPIVOTDATA("Graduate FTE - New",'FTE Pivot for regular counts'!$A$2,"State","LA","Category",6,"Category2","Four-Year")</f>
        <v>0</v>
      </c>
      <c r="H48" s="137">
        <f>+GETPIVOTDATA("Graduate FTE - New",'FTE Pivot for regular counts'!$A$2,"State","LA","Category2","Four-Year")</f>
        <v>13882.479166666668</v>
      </c>
    </row>
    <row r="49" spans="1:13" ht="15" customHeight="1">
      <c r="A49" s="1" t="s">
        <v>483</v>
      </c>
      <c r="B49" s="34">
        <f>+GETPIVOTDATA("Graduate FTE - New",'FTE Pivot for regular counts'!$A$2,"State","MD","Category",1,"Category2","Four-Year")</f>
        <v>6226.666666666667</v>
      </c>
      <c r="C49" s="34">
        <f>+GETPIVOTDATA("Graduate FTE - New",'FTE Pivot for regular counts'!$A$2,"State","MD","Category",2,"Category2","Four-Year")</f>
        <v>1199.4583333333333</v>
      </c>
      <c r="D49" s="34">
        <f>+GETPIVOTDATA("Graduate FTE - New",'FTE Pivot for regular counts'!$A$2,"State","MD","Category",3,"Category2","Four-Year")</f>
        <v>2900.1666666666665</v>
      </c>
      <c r="E49" s="34">
        <f>+GETPIVOTDATA("Graduate FTE - New",'FTE Pivot for regular counts'!$A$2,"State","MD","Category",4,"Category2","Four-Year")</f>
        <v>4606.916666666667</v>
      </c>
      <c r="F49" s="34">
        <f>+GETPIVOTDATA("Graduate FTE - New",'FTE Pivot for regular counts'!$A$2,"State","MD","Category",5,"Category2","Four-Year")</f>
        <v>0</v>
      </c>
      <c r="G49" s="12">
        <f>+GETPIVOTDATA("Graduate FTE - New",'FTE Pivot for regular counts'!$A$2,"State","MD","Category",6,"Category2","Four-Year")</f>
        <v>53.416666666666664</v>
      </c>
      <c r="H49" s="137">
        <f>+GETPIVOTDATA("Graduate FTE - New",'FTE Pivot for regular counts'!$A$2,"State","MD","Category2","Four-Year")</f>
        <v>14986.624999999998</v>
      </c>
    </row>
    <row r="50" spans="1:13" ht="15" customHeight="1">
      <c r="B50" s="34"/>
      <c r="C50" s="34"/>
      <c r="D50" s="34"/>
      <c r="E50" s="34"/>
      <c r="F50" s="34"/>
      <c r="G50" s="12"/>
      <c r="H50" s="137"/>
    </row>
    <row r="51" spans="1:13" ht="15" customHeight="1">
      <c r="A51" s="1" t="s">
        <v>484</v>
      </c>
      <c r="B51" s="34">
        <f>+GETPIVOTDATA("Graduate FTE - New",'FTE Pivot for regular counts'!$A$2,"State","MS","Category",1,"Category2","Four-Year")</f>
        <v>4872.8333333333339</v>
      </c>
      <c r="C51" s="34">
        <f>+GETPIVOTDATA("Graduate FTE - New",'FTE Pivot for regular counts'!$A$2,"State","MS","Category",2,"Category2","Four-Year")</f>
        <v>3460.541666666667</v>
      </c>
      <c r="D51" s="34">
        <f>+GETPIVOTDATA("Graduate FTE - New",'FTE Pivot for regular counts'!$A$2,"State","MS","Category",3,"Category2","Four-Year")</f>
        <v>0</v>
      </c>
      <c r="E51" s="34">
        <f>+GETPIVOTDATA("Graduate FTE - New",'FTE Pivot for regular counts'!$A$2,"State","MS","Category",4,"Category2","Four-Year")</f>
        <v>1004.1666666666666</v>
      </c>
      <c r="F51" s="34">
        <f>+GETPIVOTDATA("Graduate FTE - New",'FTE Pivot for regular counts'!$A$2,"State","MS","Category",5,"Category2","Four-Year")</f>
        <v>410.33333333333337</v>
      </c>
      <c r="G51" s="12">
        <f>+GETPIVOTDATA("Graduate FTE - New",'FTE Pivot for regular counts'!$A$2,"State","MS","Category",6,"Category2","Four-Year")</f>
        <v>0</v>
      </c>
      <c r="H51" s="137">
        <f>+GETPIVOTDATA("Graduate FTE - New",'FTE Pivot for regular counts'!$A$2,"State","MS","Category2","Four-Year")</f>
        <v>9747.875</v>
      </c>
    </row>
    <row r="52" spans="1:13" ht="15" customHeight="1">
      <c r="A52" s="1" t="s">
        <v>485</v>
      </c>
      <c r="B52" s="34">
        <f>+GETPIVOTDATA("Graduate FTE - New",'FTE Pivot for regular counts'!$A$2,"State","NC","Category",1,"Category2","Four-Year")</f>
        <v>12652.666666666666</v>
      </c>
      <c r="C52" s="34">
        <f>+GETPIVOTDATA("Graduate FTE - New",'FTE Pivot for regular counts'!$A$2,"State","NC","Category",2,"Category2","Four-Year")</f>
        <v>5739.625</v>
      </c>
      <c r="D52" s="34">
        <f>+GETPIVOTDATA("Graduate FTE - New",'FTE Pivot for regular counts'!$A$2,"State","NC","Category",3,"Category2","Four-Year")</f>
        <v>10840.833333333334</v>
      </c>
      <c r="E52" s="34">
        <f>+GETPIVOTDATA("Graduate FTE - New",'FTE Pivot for regular counts'!$A$2,"State","NC","Category",4,"Category2","Four-Year")</f>
        <v>471.41666666666669</v>
      </c>
      <c r="F52" s="34">
        <f>+GETPIVOTDATA("Graduate FTE - New",'FTE Pivot for regular counts'!$A$2,"State","NC","Category",5,"Category2","Four-Year")</f>
        <v>796.08333333333326</v>
      </c>
      <c r="G52" s="12">
        <f>+GETPIVOTDATA("Graduate FTE - New",'FTE Pivot for regular counts'!$A$2,"State","NC","Category",6,"Category2","Four-Year")</f>
        <v>48.791666666666671</v>
      </c>
      <c r="H52" s="137">
        <f>+GETPIVOTDATA("Graduate FTE - New",'FTE Pivot for regular counts'!$A$2,"State","NC","Category2","Four-Year")</f>
        <v>30549.416666666668</v>
      </c>
    </row>
    <row r="53" spans="1:13" ht="15" customHeight="1">
      <c r="A53" s="1" t="s">
        <v>486</v>
      </c>
      <c r="B53" s="34">
        <f>+GETPIVOTDATA("Graduate FTE - New",'FTE Pivot for regular counts'!$A$2,"State","OK","Category",1,"Category2","Four-Year")</f>
        <v>7581</v>
      </c>
      <c r="C53" s="34">
        <f>+GETPIVOTDATA("Graduate FTE - New",'FTE Pivot for regular counts'!$A$2,"State","OK","Category",2,"Category2","Four-Year")</f>
        <v>0</v>
      </c>
      <c r="D53" s="34">
        <f>+GETPIVOTDATA("Graduate FTE - New",'FTE Pivot for regular counts'!$A$2,"State","OK","Category",3,"Category2","Four-Year")</f>
        <v>1598.0416666666665</v>
      </c>
      <c r="E53" s="34">
        <f>+GETPIVOTDATA("Graduate FTE - New",'FTE Pivot for regular counts'!$A$2,"State","OK","Category",4,"Category2","Four-Year")</f>
        <v>0</v>
      </c>
      <c r="F53" s="34">
        <f>+GETPIVOTDATA("Graduate FTE - New",'FTE Pivot for regular counts'!$A$2,"State","OK","Category",5,"Category2","Four-Year")</f>
        <v>1839.7916666666667</v>
      </c>
      <c r="G53" s="12">
        <f>+GETPIVOTDATA("Graduate FTE - New",'FTE Pivot for regular counts'!$A$2,"State","OK","Category",6,"Category2","Four-Year")</f>
        <v>0</v>
      </c>
      <c r="H53" s="137">
        <f>+GETPIVOTDATA("Graduate FTE - New",'FTE Pivot for regular counts'!$A$2,"State","OK","Category2","Four-Year")</f>
        <v>11018.833333333332</v>
      </c>
    </row>
    <row r="54" spans="1:13" ht="15" customHeight="1">
      <c r="A54" s="1" t="s">
        <v>487</v>
      </c>
      <c r="B54" s="34">
        <f>+GETPIVOTDATA("Graduate FTE - New",'FTE Pivot for regular counts'!$A$2,"State","SC","Category",1,"Category2","Four-Year")</f>
        <v>6952.625</v>
      </c>
      <c r="C54" s="34">
        <f>+GETPIVOTDATA("Graduate FTE - New",'FTE Pivot for regular counts'!$A$2,"State","SC","Category",2,"Category2","Four-Year")</f>
        <v>0</v>
      </c>
      <c r="D54" s="34">
        <f>+GETPIVOTDATA("Graduate FTE - New",'FTE Pivot for regular counts'!$A$2,"State","SC","Category",3,"Category2","Four-Year")</f>
        <v>1477.875</v>
      </c>
      <c r="E54" s="34">
        <f>+GETPIVOTDATA("Graduate FTE - New",'FTE Pivot for regular counts'!$A$2,"State","SC","Category",4,"Category2","Four-Year")</f>
        <v>658.14583333333337</v>
      </c>
      <c r="F54" s="34">
        <f>+GETPIVOTDATA("Graduate FTE - New",'FTE Pivot for regular counts'!$A$2,"State","SC","Category",5,"Category2","Four-Year")</f>
        <v>1133.9583333333333</v>
      </c>
      <c r="G54" s="12">
        <f>+GETPIVOTDATA("Graduate FTE - New",'FTE Pivot for regular counts'!$A$2,"State","SC","Category",6,"Category2","Four-Year")</f>
        <v>110.25</v>
      </c>
      <c r="H54" s="137">
        <f>+GETPIVOTDATA("Graduate FTE - New",'FTE Pivot for regular counts'!$A$2,"State","SC","Category2","Four-Year")</f>
        <v>10332.854166666668</v>
      </c>
    </row>
    <row r="55" spans="1:13" ht="15" customHeight="1">
      <c r="B55" s="34"/>
      <c r="C55" s="34"/>
      <c r="D55" s="34"/>
      <c r="E55" s="34"/>
      <c r="F55" s="34"/>
      <c r="G55" s="12"/>
      <c r="H55" s="137"/>
    </row>
    <row r="56" spans="1:13" ht="15" customHeight="1">
      <c r="A56" s="1" t="s">
        <v>488</v>
      </c>
      <c r="B56" s="34">
        <f>+GETPIVOTDATA("Graduate FTE - New",'FTE Pivot for regular counts'!$A$2,"State","TN","Category",1,"Category2","Four-Year")</f>
        <v>5098.208333333333</v>
      </c>
      <c r="C56" s="34">
        <f>+GETPIVOTDATA("Graduate FTE - New",'FTE Pivot for regular counts'!$A$2,"State","TN","Category",2,"Category2","Four-Year")</f>
        <v>3188.8333333333335</v>
      </c>
      <c r="D56" s="34">
        <f>+GETPIVOTDATA("Graduate FTE - New",'FTE Pivot for regular counts'!$A$2,"State","TN","Category",3,"Category2","Four-Year")</f>
        <v>5654.583333333333</v>
      </c>
      <c r="E56" s="34">
        <f>+GETPIVOTDATA("Graduate FTE - New",'FTE Pivot for regular counts'!$A$2,"State","TN","Category",4,"Category2","Four-Year")</f>
        <v>1857.5833333333335</v>
      </c>
      <c r="F56" s="34">
        <f>+GETPIVOTDATA("Graduate FTE - New",'FTE Pivot for regular counts'!$A$2,"State","TN","Category",5,"Category2","Four-Year")</f>
        <v>261.41666666666669</v>
      </c>
      <c r="G56" s="12">
        <f>+GETPIVOTDATA("Graduate FTE - New",'FTE Pivot for regular counts'!$A$2,"State","TN","Category",6,"Category2","Four-Year")</f>
        <v>0</v>
      </c>
      <c r="H56" s="137">
        <f>+GETPIVOTDATA("Graduate FTE - New",'FTE Pivot for regular counts'!$A$2,"State","TN","Category2","Four-Year")</f>
        <v>16060.625</v>
      </c>
    </row>
    <row r="57" spans="1:13" ht="15" customHeight="1">
      <c r="A57" s="1" t="s">
        <v>489</v>
      </c>
      <c r="B57" s="34">
        <f>+GETPIVOTDATA("Graduate FTE - New",'FTE Pivot for regular counts'!$A$2,"State","TX","Category",1,"Category2","Four-Year")</f>
        <v>41315.916666666672</v>
      </c>
      <c r="C57" s="34">
        <f>+GETPIVOTDATA("Graduate FTE - New",'FTE Pivot for regular counts'!$A$2,"State","TX","Category",2,"Category2","Four-Year")</f>
        <v>5742.0416666666661</v>
      </c>
      <c r="D57" s="34">
        <f>+GETPIVOTDATA("Graduate FTE - New",'FTE Pivot for regular counts'!$A$2,"State","TX","Category",3,"Category2","Four-Year")</f>
        <v>26678.958333333328</v>
      </c>
      <c r="E57" s="34">
        <f>+GETPIVOTDATA("Graduate FTE - New",'FTE Pivot for regular counts'!$A$2,"State","TX","Category",4,"Category2","Four-Year")</f>
        <v>1885.125</v>
      </c>
      <c r="F57" s="34">
        <f>+GETPIVOTDATA("Graduate FTE - New",'FTE Pivot for regular counts'!$A$2,"State","TX","Category",5,"Category2","Four-Year")</f>
        <v>1145.4583333333335</v>
      </c>
      <c r="G57" s="12">
        <f>+GETPIVOTDATA("Graduate FTE - New",'FTE Pivot for regular counts'!$A$2,"State","TX","Category",6,"Category2","Four-Year")</f>
        <v>34.333333333333336</v>
      </c>
      <c r="H57" s="137">
        <f>+GETPIVOTDATA("Graduate FTE - New",'FTE Pivot for regular counts'!$A$2,"State","TX","Category2","Four-Year")</f>
        <v>76801.833333333314</v>
      </c>
    </row>
    <row r="58" spans="1:13" ht="15" customHeight="1">
      <c r="A58" s="1" t="s">
        <v>490</v>
      </c>
      <c r="B58" s="34">
        <f>+GETPIVOTDATA("Graduate FTE - New",'FTE Pivot for regular counts'!$A$2,"State","VA","Category",1,"Category2","Four-Year")</f>
        <v>20595.125</v>
      </c>
      <c r="C58" s="34">
        <f>+GETPIVOTDATA("Graduate FTE - New",'FTE Pivot for regular counts'!$A$2,"State","VA","Category",2,"Category2","Four-Year")</f>
        <v>11614.5</v>
      </c>
      <c r="D58" s="34">
        <f>+GETPIVOTDATA("Graduate FTE - New",'FTE Pivot for regular counts'!$A$2,"State","VA","Category",3,"Category2","Four-Year")</f>
        <v>2064.0416666666665</v>
      </c>
      <c r="E58" s="34">
        <f>+GETPIVOTDATA("Graduate FTE - New",'FTE Pivot for regular counts'!$A$2,"State","VA","Category",4,"Category2","Four-Year")</f>
        <v>956.125</v>
      </c>
      <c r="F58" s="34">
        <f>+GETPIVOTDATA("Graduate FTE - New",'FTE Pivot for regular counts'!$A$2,"State","VA","Category",5,"Category2","Four-Year")</f>
        <v>814.58333333333326</v>
      </c>
      <c r="G58" s="12">
        <f>+GETPIVOTDATA("Graduate FTE - New",'FTE Pivot for regular counts'!$A$2,"State","VA","Category",6,"Category2","Four-Year")</f>
        <v>0</v>
      </c>
      <c r="H58" s="137">
        <f>+GETPIVOTDATA("Graduate FTE - New",'FTE Pivot for regular counts'!$A$2,"State","VA","Category2","Four-Year")</f>
        <v>36044.375</v>
      </c>
    </row>
    <row r="59" spans="1:13" ht="15" customHeight="1">
      <c r="A59" s="3" t="s">
        <v>491</v>
      </c>
      <c r="B59" s="13">
        <f>+GETPIVOTDATA("Graduate FTE - New",'FTE Pivot for regular counts'!$A$2,"State","WV","Category",1,"Category2","Four-Year")</f>
        <v>4936.708333333333</v>
      </c>
      <c r="C59" s="13">
        <f>+GETPIVOTDATA("Graduate FTE - New",'FTE Pivot for regular counts'!$A$2,"State","WV","Category",2,"Category2","Four-Year")</f>
        <v>0</v>
      </c>
      <c r="D59" s="13">
        <f>+GETPIVOTDATA("Graduate FTE - New",'FTE Pivot for regular counts'!$A$2,"State","WV","Category",3,"Category2","Four-Year")</f>
        <v>2570.125</v>
      </c>
      <c r="E59" s="13">
        <f>+GETPIVOTDATA("Graduate FTE - New",'FTE Pivot for regular counts'!$A$2,"State","WV","Category",4,"Category2","Four-Year")</f>
        <v>0</v>
      </c>
      <c r="F59" s="13">
        <f>+GETPIVOTDATA("Graduate FTE - New",'FTE Pivot for regular counts'!$A$2,"State","WV","Category",5,"Category2","Four-Year")</f>
        <v>0</v>
      </c>
      <c r="G59" s="14">
        <f>+GETPIVOTDATA("Graduate FTE - New",'FTE Pivot for regular counts'!$A$2,"State","WV","Category",6,"Category2","Four-Year")</f>
        <v>442.66666666666663</v>
      </c>
      <c r="H59" s="138">
        <f>+GETPIVOTDATA("Graduate FTE - New",'FTE Pivot for regular counts'!$A$2,"State","WV","Category2","Four-Year")</f>
        <v>7949.5</v>
      </c>
    </row>
    <row r="60" spans="1:13" s="25" customFormat="1" ht="9.9499999999999993" customHeight="1">
      <c r="A60" s="77"/>
      <c r="B60" s="16"/>
      <c r="C60" s="16"/>
      <c r="D60" s="16"/>
      <c r="E60" s="16"/>
      <c r="F60" s="16"/>
      <c r="G60" s="16"/>
      <c r="H60" s="133"/>
      <c r="I60" s="15"/>
      <c r="J60" s="127"/>
      <c r="K60" s="127"/>
      <c r="L60" s="127"/>
      <c r="M60" s="127"/>
    </row>
    <row r="61" spans="1:13" ht="46.5" customHeight="1">
      <c r="A61" s="680" t="s">
        <v>104</v>
      </c>
      <c r="B61" s="681"/>
      <c r="C61" s="681"/>
      <c r="D61" s="681"/>
      <c r="E61" s="681"/>
      <c r="F61" s="681"/>
      <c r="G61" s="681"/>
      <c r="H61" s="681"/>
    </row>
    <row r="62" spans="1:13">
      <c r="A62" s="50"/>
      <c r="B62" s="51"/>
      <c r="C62" s="51"/>
      <c r="D62" s="51"/>
      <c r="E62" s="51"/>
      <c r="F62" s="51"/>
      <c r="G62" s="51"/>
      <c r="H62" s="424" t="s">
        <v>94</v>
      </c>
    </row>
    <row r="63" spans="1:13" ht="18">
      <c r="A63" s="42" t="s">
        <v>423</v>
      </c>
      <c r="B63" s="42"/>
      <c r="C63" s="42"/>
      <c r="D63" s="42"/>
      <c r="E63" s="42"/>
      <c r="F63" s="42"/>
      <c r="G63" s="42"/>
      <c r="H63" s="139"/>
    </row>
    <row r="64" spans="1:13" ht="15.75">
      <c r="A64" s="56"/>
      <c r="B64" s="44"/>
      <c r="C64" s="44"/>
      <c r="D64" s="44"/>
      <c r="E64" s="44"/>
      <c r="F64" s="44"/>
      <c r="G64" s="44"/>
      <c r="H64" s="134"/>
    </row>
    <row r="65" spans="1:28" ht="15.75">
      <c r="A65" s="44" t="s">
        <v>435</v>
      </c>
      <c r="B65" s="44"/>
      <c r="C65" s="44"/>
      <c r="D65" s="44"/>
      <c r="E65" s="44"/>
      <c r="F65" s="44"/>
      <c r="G65" s="44"/>
      <c r="H65" s="134"/>
    </row>
    <row r="66" spans="1:28" ht="15.75">
      <c r="A66" s="44" t="s">
        <v>69</v>
      </c>
      <c r="B66" s="44"/>
      <c r="C66" s="44"/>
      <c r="D66" s="44"/>
      <c r="E66" s="44"/>
      <c r="F66" s="44"/>
      <c r="G66" s="44"/>
      <c r="H66" s="134"/>
    </row>
    <row r="67" spans="1:28" ht="15.75">
      <c r="A67" s="44"/>
      <c r="B67" s="44"/>
      <c r="C67" s="44"/>
      <c r="D67" s="44"/>
      <c r="E67" s="44"/>
      <c r="F67" s="44"/>
      <c r="G67" s="44"/>
      <c r="H67" s="134"/>
      <c r="U67" s="151" t="s">
        <v>438</v>
      </c>
      <c r="V67" s="271" t="s">
        <v>929</v>
      </c>
      <c r="W67" s="151"/>
      <c r="X67" s="151"/>
      <c r="Y67" s="151"/>
      <c r="Z67" s="151"/>
      <c r="AA67" s="151"/>
    </row>
    <row r="68" spans="1:28" ht="15" customHeight="1">
      <c r="A68" s="53"/>
      <c r="B68" s="53" t="s">
        <v>474</v>
      </c>
      <c r="C68" s="53"/>
      <c r="D68" s="53"/>
      <c r="E68" s="53"/>
      <c r="F68" s="53"/>
      <c r="G68" s="53"/>
      <c r="H68" s="135"/>
      <c r="U68" s="435" t="s">
        <v>474</v>
      </c>
      <c r="V68" s="436"/>
      <c r="W68" s="436"/>
      <c r="X68" s="436"/>
      <c r="Y68" s="436"/>
      <c r="Z68" s="436"/>
      <c r="AA68" s="152"/>
    </row>
    <row r="69" spans="1:28" ht="15" customHeight="1">
      <c r="A69" s="54"/>
      <c r="B69" s="47">
        <v>1</v>
      </c>
      <c r="C69" s="47">
        <v>2</v>
      </c>
      <c r="D69" s="47">
        <v>3</v>
      </c>
      <c r="E69" s="47">
        <v>4</v>
      </c>
      <c r="F69" s="47">
        <v>5</v>
      </c>
      <c r="G69" s="55">
        <v>6</v>
      </c>
      <c r="H69" s="117" t="s">
        <v>425</v>
      </c>
      <c r="U69" s="153">
        <v>1</v>
      </c>
      <c r="V69" s="153">
        <v>2</v>
      </c>
      <c r="W69" s="153">
        <v>3</v>
      </c>
      <c r="X69" s="153">
        <v>4</v>
      </c>
      <c r="Y69" s="153">
        <v>5</v>
      </c>
      <c r="Z69" s="154">
        <v>6</v>
      </c>
      <c r="AA69" s="155" t="s">
        <v>425</v>
      </c>
    </row>
    <row r="70" spans="1:28" ht="15" customHeight="1">
      <c r="A70" s="1" t="s">
        <v>476</v>
      </c>
      <c r="B70" s="11">
        <f>+Tables!B9+Tables!B39</f>
        <v>913767.99333333329</v>
      </c>
      <c r="C70" s="11">
        <f>+Tables!D9+Tables!C39</f>
        <v>270156.35277777782</v>
      </c>
      <c r="D70" s="11">
        <f>+Tables!F9+Tables!D39</f>
        <v>579402.1</v>
      </c>
      <c r="E70" s="11">
        <f>+Tables!H9+Tables!E39</f>
        <v>226759.50083333335</v>
      </c>
      <c r="F70" s="11">
        <f>+Tables!J9+Tables!F39</f>
        <v>114537.18333333332</v>
      </c>
      <c r="G70" s="12">
        <f>+Tables!L9+Tables!G39</f>
        <v>64789.396666666667</v>
      </c>
      <c r="H70" s="136">
        <f>+Tables!N9+Tables!H39</f>
        <v>2169412.5269444445</v>
      </c>
      <c r="U70" s="151">
        <f>+GETPIVOTDATA("Grand Total FTE - Old",'FTE Pivot for regular counts'!$A$2,"Category",1,"Category2","Four-Year")</f>
        <v>895659.98166666669</v>
      </c>
      <c r="V70" s="151">
        <f>+GETPIVOTDATA("Grand Total FTE - Old",'FTE Pivot for regular counts'!$A$2,"Category",2,"Category2","Four-Year")</f>
        <v>267231.86527777772</v>
      </c>
      <c r="W70" s="151">
        <f>+GETPIVOTDATA("Grand Total FTE - Old",'FTE Pivot for regular counts'!$A$2,"Category",3,"Category2","Four-Year")</f>
        <v>572100.9458333333</v>
      </c>
      <c r="X70" s="151">
        <f>+GETPIVOTDATA("Grand Total FTE - Old",'FTE Pivot for regular counts'!$A$2,"Category",4,"Category2","Four-Year")</f>
        <v>220329.23333333334</v>
      </c>
      <c r="Y70" s="151">
        <f>+GETPIVOTDATA("Grand Total FTE - Old",'FTE Pivot for regular counts'!$A$2,"Category",5,"Category2","Four-Year")</f>
        <v>111659.18333333335</v>
      </c>
      <c r="Z70" s="151">
        <f>+GETPIVOTDATA("Grand Total FTE - Old",'FTE Pivot for regular counts'!$A$2,"Category",6,"Category2","Four-Year")</f>
        <v>63642.95749999999</v>
      </c>
      <c r="AA70" s="151">
        <f>+GETPIVOTDATA("Grand Total FTE - Old",'FTE Pivot for regular counts'!$A$2,"Category2","Four-Year")</f>
        <v>2130624.1669444442</v>
      </c>
      <c r="AB70" s="1" t="s">
        <v>476</v>
      </c>
    </row>
    <row r="71" spans="1:28" ht="15" customHeight="1">
      <c r="B71" s="11"/>
      <c r="C71" s="11"/>
      <c r="D71" s="11"/>
      <c r="E71" s="11"/>
      <c r="F71" s="11"/>
      <c r="G71" s="12"/>
      <c r="H71" s="136"/>
      <c r="U71" s="151"/>
      <c r="V71" s="151"/>
      <c r="W71" s="151"/>
      <c r="X71" s="151"/>
      <c r="Y71" s="151"/>
      <c r="Z71" s="151"/>
      <c r="AA71" s="151"/>
    </row>
    <row r="72" spans="1:28" ht="15" customHeight="1">
      <c r="A72" s="1" t="s">
        <v>477</v>
      </c>
      <c r="B72" s="34">
        <f>+Tables!B11+Tables!B41</f>
        <v>57825.05</v>
      </c>
      <c r="C72" s="34">
        <f>+Tables!D11+Tables!C41</f>
        <v>5878.05</v>
      </c>
      <c r="D72" s="34">
        <f>+Tables!F11+Tables!D41</f>
        <v>22452.983333333334</v>
      </c>
      <c r="E72" s="34">
        <f>+Tables!H11+Tables!E41</f>
        <v>28154.074999999997</v>
      </c>
      <c r="F72" s="34">
        <f>+Tables!J11+Tables!F41</f>
        <v>6112.9750000000004</v>
      </c>
      <c r="G72" s="12">
        <f>+Tables!L11+Tables!G41</f>
        <v>2656.3666666666668</v>
      </c>
      <c r="H72" s="137">
        <f>+Tables!N11+Tables!H41</f>
        <v>123079.5</v>
      </c>
      <c r="U72" s="151">
        <f>+GETPIVOTDATA("Grand Total FTE - Old",'FTE Pivot for regular counts'!$A$2,"State","AL","Category",1,"Category2","Four-Year")</f>
        <v>56521.458333333336</v>
      </c>
      <c r="V72" s="151">
        <f>+GETPIVOTDATA("Grand Total FTE - Old",'FTE Pivot for regular counts'!$A$2,"State","AL","Category",2,"Category2","Four-Year")</f>
        <v>5750.9333333333334</v>
      </c>
      <c r="W72" s="151">
        <f>+GETPIVOTDATA("Grand Total FTE - Old",'FTE Pivot for regular counts'!$A$2,"State","AL","Category",3,"Category2","Four-Year")</f>
        <v>22407.116666666669</v>
      </c>
      <c r="X72" s="151">
        <f>+GETPIVOTDATA("Grand Total FTE - Old",'FTE Pivot for regular counts'!$A$2,"State","AL","Category",4,"Category2","Four-Year")</f>
        <v>27617.741666666669</v>
      </c>
      <c r="Y72" s="151">
        <f>+GETPIVOTDATA("Grand Total FTE - Old",'FTE Pivot for regular counts'!$A$2,"State","AL","Category",5,"Category2","Four-Year")</f>
        <v>5550.5666666666666</v>
      </c>
      <c r="Z72" s="151">
        <f>+GETPIVOTDATA("Grand Total FTE - Old",'FTE Pivot for regular counts'!$A$2,"State","AL","Category",6,"Category2","Four-Year")</f>
        <v>2452.6333333333332</v>
      </c>
      <c r="AA72" s="151">
        <f>+GETPIVOTDATA("Grand Total FTE - Old",'FTE Pivot for regular counts'!$A$2,"State","AL","Category2","Four-Year")</f>
        <v>120300.45</v>
      </c>
      <c r="AB72" s="1" t="s">
        <v>477</v>
      </c>
    </row>
    <row r="73" spans="1:28" ht="15" customHeight="1">
      <c r="A73" s="4" t="s">
        <v>478</v>
      </c>
      <c r="B73" s="34">
        <f>+Tables!B12+Tables!B42</f>
        <v>17188.708333333332</v>
      </c>
      <c r="C73" s="34">
        <f>+Tables!D12+Tables!C42</f>
        <v>0</v>
      </c>
      <c r="D73" s="34">
        <f>+Tables!F12+Tables!D42</f>
        <v>30314.491666666665</v>
      </c>
      <c r="E73" s="34">
        <f>+Tables!H12+Tables!E42</f>
        <v>10209.991666666667</v>
      </c>
      <c r="F73" s="34">
        <f>+Tables!J12+Tables!F42</f>
        <v>5554.6416666666673</v>
      </c>
      <c r="G73" s="12">
        <f>+Tables!L12+Tables!G42</f>
        <v>8459.15</v>
      </c>
      <c r="H73" s="137">
        <f>+Tables!N12+Tables!H42</f>
        <v>71726.983333333337</v>
      </c>
      <c r="U73" s="151">
        <f>+GETPIVOTDATA("Grand Total FTE - Old",'FTE Pivot for regular counts'!$A$2,"State","AR","Category",1,"Category2","Four-Year")</f>
        <v>16512.8</v>
      </c>
      <c r="V73" s="151">
        <f>+GETPIVOTDATA("Grand Total FTE - Old",'FTE Pivot for regular counts'!$A$2,"State","AR","Category",2,"Category2","Four-Year")</f>
        <v>0</v>
      </c>
      <c r="W73" s="151">
        <f>+GETPIVOTDATA("Grand Total FTE - Old",'FTE Pivot for regular counts'!$A$2,"State","AR","Category",3,"Category2","Four-Year")</f>
        <v>29833.175000000003</v>
      </c>
      <c r="X73" s="151">
        <f>+GETPIVOTDATA("Grand Total FTE - Old",'FTE Pivot for regular counts'!$A$2,"State","AR","Category",4,"Category2","Four-Year")</f>
        <v>10042.25</v>
      </c>
      <c r="Y73" s="151">
        <f>+GETPIVOTDATA("Grand Total FTE - Old",'FTE Pivot for regular counts'!$A$2,"State","AR","Category",5,"Category2","Four-Year")</f>
        <v>5548.8916666666664</v>
      </c>
      <c r="Z73" s="151">
        <f>+GETPIVOTDATA("Grand Total FTE - Old",'FTE Pivot for regular counts'!$A$2,"State","AR","Category",6,"Category2","Four-Year")</f>
        <v>8074.041666666667</v>
      </c>
      <c r="AA73" s="151">
        <f>+GETPIVOTDATA("Grand Total FTE - Old",'FTE Pivot for regular counts'!$A$2,"State","AR","Category2","Four-Year")</f>
        <v>70011.15833333334</v>
      </c>
      <c r="AB73" s="4" t="s">
        <v>478</v>
      </c>
    </row>
    <row r="74" spans="1:28" ht="15" customHeight="1">
      <c r="A74" s="1" t="s">
        <v>515</v>
      </c>
      <c r="B74" s="34">
        <f>+Tables!B13+Tables!B43</f>
        <v>18905.058333333334</v>
      </c>
      <c r="C74" s="34">
        <f>+Tables!D13+Tables!C43</f>
        <v>0</v>
      </c>
      <c r="D74" s="34">
        <f>+Tables!F13+Tables!D43</f>
        <v>0</v>
      </c>
      <c r="E74" s="1">
        <f>+Tables!H13+Tables!E43</f>
        <v>3514.2249999999999</v>
      </c>
      <c r="F74" s="34">
        <f>+Tables!J13+Tables!F43</f>
        <v>0</v>
      </c>
      <c r="G74" s="12">
        <f>+Tables!L13+Tables!G43</f>
        <v>0</v>
      </c>
      <c r="H74" s="1">
        <f>+Tables!N13+Tables!H43</f>
        <v>22419.283333333336</v>
      </c>
      <c r="U74" s="151">
        <f>+GETPIVOTDATA("Grand Total FTE - Old",'FTE Pivot for regular counts'!$A$2,"State","DE","Category",1,"Category2","Four-Year")</f>
        <v>18771.95</v>
      </c>
      <c r="V74" s="151">
        <f>+GETPIVOTDATA("Grand Total FTE - Old",'FTE Pivot for regular counts'!$A$2,"State","DE","Category",2,"Category2","Four-Year")</f>
        <v>0</v>
      </c>
      <c r="W74" s="151">
        <f>+GETPIVOTDATA("Grand Total FTE - Old",'FTE Pivot for regular counts'!$A$2,"State","DE","Category",3,"Category2","Four-Year")</f>
        <v>0</v>
      </c>
      <c r="X74" s="151">
        <f>+GETPIVOTDATA("Grand Total FTE - Old",'FTE Pivot for regular counts'!$A$2,"State","DE","Category",4,"Category2","Four-Year")</f>
        <v>3004.4666666666667</v>
      </c>
      <c r="Y74" s="151">
        <f>+GETPIVOTDATA("Grand Total FTE - Old",'FTE Pivot for regular counts'!$A$2,"State","DE","Category",5,"Category2","Four-Year")</f>
        <v>0</v>
      </c>
      <c r="Z74" s="151">
        <f>+GETPIVOTDATA("Grand Total FTE - Old",'FTE Pivot for regular counts'!$A$2,"State","DE","Category",6,"Category2","Four-Year")</f>
        <v>0</v>
      </c>
      <c r="AA74" s="151">
        <f>+GETPIVOTDATA("Grand Total FTE - Old",'FTE Pivot for regular counts'!$A$2,"State","DE","Category2","Four-Year")</f>
        <v>21776.416666666668</v>
      </c>
      <c r="AB74" s="1" t="s">
        <v>515</v>
      </c>
    </row>
    <row r="75" spans="1:28" ht="15" customHeight="1">
      <c r="A75" s="1" t="s">
        <v>479</v>
      </c>
      <c r="B75" s="34">
        <f>+Tables!B14+Tables!B44</f>
        <v>165014.59999999998</v>
      </c>
      <c r="C75" s="34">
        <f>+Tables!D14+Tables!C44</f>
        <v>51887.23333333333</v>
      </c>
      <c r="D75" s="34">
        <f>+Tables!F14+Tables!D44</f>
        <v>32655.774999999998</v>
      </c>
      <c r="E75" s="34">
        <f>+Tables!H14+Tables!E44</f>
        <v>8184</v>
      </c>
      <c r="F75" s="34">
        <f>+Tables!J14+Tables!F44</f>
        <v>0</v>
      </c>
      <c r="G75" s="12">
        <f>+Tables!L14+Tables!G44</f>
        <v>892.8</v>
      </c>
      <c r="H75" s="137">
        <f>+Tables!N14+Tables!H44</f>
        <v>258634.40833333333</v>
      </c>
      <c r="U75" s="151">
        <f>+GETPIVOTDATA("Grand Total FTE - Old",'FTE Pivot for regular counts'!$A$2,"State","FL","Category",1,"Category2","Four-Year")</f>
        <v>160283.73333333334</v>
      </c>
      <c r="V75" s="151">
        <f>+GETPIVOTDATA("Grand Total FTE - Old",'FTE Pivot for regular counts'!$A$2,"State","FL","Category",2,"Category2","Four-Year")</f>
        <v>53210.024999999994</v>
      </c>
      <c r="W75" s="151">
        <f>+GETPIVOTDATA("Grand Total FTE - Old",'FTE Pivot for regular counts'!$A$2,"State","FL","Category",3,"Category2","Four-Year")</f>
        <v>32907.0625</v>
      </c>
      <c r="X75" s="151">
        <f>+GETPIVOTDATA("Grand Total FTE - Old",'FTE Pivot for regular counts'!$A$2,"State","FL","Category",4,"Category2","Four-Year")</f>
        <v>7233.6750000000002</v>
      </c>
      <c r="Y75" s="151">
        <f>+GETPIVOTDATA("Grand Total FTE - Old",'FTE Pivot for regular counts'!$A$2,"State","FL","Category",5,"Category2","Four-Year")</f>
        <v>0</v>
      </c>
      <c r="Z75" s="151">
        <f>+GETPIVOTDATA("Grand Total FTE - Old",'FTE Pivot for regular counts'!$A$2,"State","FL","Category",6,"Category2","Four-Year")</f>
        <v>858.26666666666665</v>
      </c>
      <c r="AA75" s="151">
        <f>+GETPIVOTDATA("Grand Total FTE - Old",'FTE Pivot for regular counts'!$A$2,"State","FL","Category2","Four-Year")</f>
        <v>254492.76249999998</v>
      </c>
      <c r="AB75" s="1" t="s">
        <v>479</v>
      </c>
    </row>
    <row r="76" spans="1:28" ht="15" customHeight="1">
      <c r="B76" s="34"/>
      <c r="C76" s="34"/>
      <c r="D76" s="34"/>
      <c r="E76" s="34"/>
      <c r="F76" s="34"/>
      <c r="G76" s="12"/>
      <c r="H76" s="137"/>
      <c r="U76" s="151"/>
      <c r="V76" s="151"/>
      <c r="W76" s="151"/>
      <c r="X76" s="151"/>
      <c r="Y76" s="151"/>
      <c r="Z76" s="151"/>
      <c r="AA76" s="151"/>
    </row>
    <row r="77" spans="1:28" ht="15" customHeight="1">
      <c r="A77" s="1" t="s">
        <v>480</v>
      </c>
      <c r="B77" s="34">
        <f>+Tables!B16+Tables!B46</f>
        <v>61082.480833333335</v>
      </c>
      <c r="C77" s="34">
        <f>+Tables!D16+Tables!C46</f>
        <v>21887.474999999999</v>
      </c>
      <c r="D77" s="34">
        <f>+Tables!F16+Tables!D46</f>
        <v>36570.174999999996</v>
      </c>
      <c r="E77" s="34">
        <f>+Tables!H16+Tables!E46</f>
        <v>40898.621666666666</v>
      </c>
      <c r="F77" s="34">
        <f>+Tables!J16+Tables!F46</f>
        <v>18541.25</v>
      </c>
      <c r="G77" s="12">
        <f>+Tables!L16+Tables!G46</f>
        <v>9947.9</v>
      </c>
      <c r="H77" s="137">
        <f>+Tables!N16+Tables!H46</f>
        <v>188927.9025</v>
      </c>
      <c r="U77" s="151">
        <f>+GETPIVOTDATA("Grand Total FTE - Old",'FTE Pivot for regular counts'!$A$2,"State","GA","Category",1,"Category2","Four-Year")</f>
        <v>59828.685833333329</v>
      </c>
      <c r="V77" s="151">
        <f>+GETPIVOTDATA("Grand Total FTE - Old",'FTE Pivot for regular counts'!$A$2,"State","GA","Category",2,"Category2","Four-Year")</f>
        <v>21321.408333333333</v>
      </c>
      <c r="W77" s="151">
        <f>+GETPIVOTDATA("Grand Total FTE - Old",'FTE Pivot for regular counts'!$A$2,"State","GA","Category",3,"Category2","Four-Year")</f>
        <v>34894.058333333334</v>
      </c>
      <c r="X77" s="151">
        <f>+GETPIVOTDATA("Grand Total FTE - Old",'FTE Pivot for regular counts'!$A$2,"State","GA","Category",4,"Category2","Four-Year")</f>
        <v>39241.966666666667</v>
      </c>
      <c r="Y77" s="151">
        <f>+GETPIVOTDATA("Grand Total FTE - Old",'FTE Pivot for regular counts'!$A$2,"State","GA","Category",5,"Category2","Four-Year")</f>
        <v>17696.183333333334</v>
      </c>
      <c r="Z77" s="151">
        <f>+GETPIVOTDATA("Grand Total FTE - Old",'FTE Pivot for regular counts'!$A$2,"State","GA","Category",6,"Category2","Four-Year")</f>
        <v>9835.8166666666657</v>
      </c>
      <c r="AA77" s="151">
        <f>+GETPIVOTDATA("Grand Total FTE - Old",'FTE Pivot for regular counts'!$A$2,"State","GA","Category2","Four-Year")</f>
        <v>182818.11916666664</v>
      </c>
      <c r="AB77" s="1" t="s">
        <v>480</v>
      </c>
    </row>
    <row r="78" spans="1:28" ht="15" customHeight="1">
      <c r="A78" s="1" t="s">
        <v>481</v>
      </c>
      <c r="B78" s="34">
        <f>+Tables!B17+Tables!B47</f>
        <v>36783.216666666667</v>
      </c>
      <c r="C78" s="34">
        <f>+Tables!D17+Tables!C47</f>
        <v>0</v>
      </c>
      <c r="D78" s="34">
        <f>+Tables!F17+Tables!D47</f>
        <v>38995.741666666669</v>
      </c>
      <c r="E78" s="34">
        <f>+Tables!H17+Tables!E47</f>
        <v>19555.275000000001</v>
      </c>
      <c r="F78" s="34">
        <f>+Tables!J17+Tables!F47</f>
        <v>2188.6833333333334</v>
      </c>
      <c r="G78" s="12">
        <f>+Tables!L17+Tables!G47</f>
        <v>0</v>
      </c>
      <c r="H78" s="137">
        <f>+Tables!N17+Tables!H47</f>
        <v>97522.916666666672</v>
      </c>
      <c r="U78" s="151">
        <f>+GETPIVOTDATA("Grand Total FTE - Old",'FTE Pivot for regular counts'!$A$2,"State","KY","Category",1,"Category2","Four-Year")</f>
        <v>36592.566666666666</v>
      </c>
      <c r="V78" s="151">
        <f>+GETPIVOTDATA("Grand Total FTE - Old",'FTE Pivot for regular counts'!$A$2,"State","KY","Category",2,"Category2","Four-Year")</f>
        <v>0</v>
      </c>
      <c r="W78" s="151">
        <f>+GETPIVOTDATA("Grand Total FTE - Old",'FTE Pivot for regular counts'!$A$2,"State","KY","Category",3,"Category2","Four-Year")</f>
        <v>38662.90833333334</v>
      </c>
      <c r="X78" s="151">
        <f>+GETPIVOTDATA("Grand Total FTE - Old",'FTE Pivot for regular counts'!$A$2,"State","KY","Category",4,"Category2","Four-Year")</f>
        <v>19338.458333333332</v>
      </c>
      <c r="Y78" s="151">
        <f>+GETPIVOTDATA("Grand Total FTE - Old",'FTE Pivot for regular counts'!$A$2,"State","KY","Category",5,"Category2","Four-Year")</f>
        <v>2171.5416666666665</v>
      </c>
      <c r="Z78" s="151">
        <f>+GETPIVOTDATA("Grand Total FTE - Old",'FTE Pivot for regular counts'!$A$2,"State","KY","Category",6,"Category2","Four-Year")</f>
        <v>0</v>
      </c>
      <c r="AA78" s="151">
        <f>+GETPIVOTDATA("Grand Total FTE - Old",'FTE Pivot for regular counts'!$A$2,"State","KY","Category2","Four-Year")</f>
        <v>96765.475000000006</v>
      </c>
      <c r="AB78" s="1" t="s">
        <v>481</v>
      </c>
    </row>
    <row r="79" spans="1:28" ht="15" customHeight="1">
      <c r="A79" s="1" t="s">
        <v>482</v>
      </c>
      <c r="B79" s="34">
        <f>+Tables!B18+Tables!B48</f>
        <v>28341.345833333333</v>
      </c>
      <c r="C79" s="34">
        <f>+Tables!D18+Tables!C48</f>
        <v>29832.194444444445</v>
      </c>
      <c r="D79" s="34">
        <f>+Tables!F18+Tables!D48</f>
        <v>28672.224999999999</v>
      </c>
      <c r="E79" s="34">
        <f>+Tables!H18+Tables!E48</f>
        <v>29878.666666666668</v>
      </c>
      <c r="F79" s="34">
        <f>+Tables!J18+Tables!F48</f>
        <v>2409.6583333333333</v>
      </c>
      <c r="G79" s="12">
        <f>+Tables!L18+Tables!G48</f>
        <v>0</v>
      </c>
      <c r="H79" s="137">
        <f>+Tables!N18+Tables!H48</f>
        <v>119134.09027777778</v>
      </c>
      <c r="U79" s="151">
        <f>+GETPIVOTDATA("Grand Total FTE - Old",'FTE Pivot for regular counts'!$A$2,"State","LA","Category",1,"Category2","Four-Year")</f>
        <v>28840.345833333333</v>
      </c>
      <c r="V79" s="151">
        <f>+GETPIVOTDATA("Grand Total FTE - Old",'FTE Pivot for regular counts'!$A$2,"State","LA","Category",2,"Category2","Four-Year")</f>
        <v>30233.436111111114</v>
      </c>
      <c r="W79" s="151">
        <f>+GETPIVOTDATA("Grand Total FTE - Old",'FTE Pivot for regular counts'!$A$2,"State","LA","Category",3,"Category2","Four-Year")</f>
        <v>29405.158333333333</v>
      </c>
      <c r="X79" s="151">
        <f>+GETPIVOTDATA("Grand Total FTE - Old",'FTE Pivot for regular counts'!$A$2,"State","LA","Category",4,"Category2","Four-Year")</f>
        <v>29818.050000000003</v>
      </c>
      <c r="Y79" s="151">
        <f>+GETPIVOTDATA("Grand Total FTE - Old",'FTE Pivot for regular counts'!$A$2,"State","LA","Category",5,"Category2","Four-Year")</f>
        <v>2065.0166666666664</v>
      </c>
      <c r="Z79" s="151">
        <f>+GETPIVOTDATA("Grand Total FTE - Old",'FTE Pivot for regular counts'!$A$2,"State","LA","Category",6,"Category2","Four-Year")</f>
        <v>0</v>
      </c>
      <c r="AA79" s="151">
        <f>+GETPIVOTDATA("Grand Total FTE - Old",'FTE Pivot for regular counts'!$A$2,"State","LA","Category2","Four-Year")</f>
        <v>120362.00694444445</v>
      </c>
      <c r="AB79" s="1" t="s">
        <v>482</v>
      </c>
    </row>
    <row r="80" spans="1:28" ht="15" customHeight="1">
      <c r="A80" s="1" t="s">
        <v>483</v>
      </c>
      <c r="B80" s="34">
        <f>+Tables!B19+Tables!B49</f>
        <v>32196.233333333334</v>
      </c>
      <c r="C80" s="34">
        <f>+Tables!D19+Tables!C49</f>
        <v>10276.025000000001</v>
      </c>
      <c r="D80" s="34">
        <f>+Tables!F19+Tables!D49</f>
        <v>24124.366666666665</v>
      </c>
      <c r="E80" s="34">
        <f>+Tables!H19+Tables!E49</f>
        <v>28064.65</v>
      </c>
      <c r="F80" s="34">
        <f>+Tables!J19+Tables!F49</f>
        <v>0</v>
      </c>
      <c r="G80" s="12">
        <f>+Tables!L19+Tables!G49</f>
        <v>2117.8683333333333</v>
      </c>
      <c r="H80" s="137">
        <f>+Tables!N19+Tables!H49</f>
        <v>96779.143333333326</v>
      </c>
      <c r="U80" s="151">
        <f>+GETPIVOTDATA("Grand Total FTE - Old",'FTE Pivot for regular counts'!$A$2,"State","MD","Category",1,"Category2","Four-Year")</f>
        <v>31347.025000000001</v>
      </c>
      <c r="V80" s="151">
        <f>+GETPIVOTDATA("Grand Total FTE - Old",'FTE Pivot for regular counts'!$A$2,"State","MD","Category",2,"Category2","Four-Year")</f>
        <v>10067.199999999999</v>
      </c>
      <c r="W80" s="151">
        <f>+GETPIVOTDATA("Grand Total FTE - Old",'FTE Pivot for regular counts'!$A$2,"State","MD","Category",3,"Category2","Four-Year")</f>
        <v>22767.65</v>
      </c>
      <c r="X80" s="151">
        <f>+GETPIVOTDATA("Grand Total FTE - Old",'FTE Pivot for regular counts'!$A$2,"State","MD","Category",4,"Category2","Four-Year")</f>
        <v>26698.883333333335</v>
      </c>
      <c r="Y80" s="151">
        <f>+GETPIVOTDATA("Grand Total FTE - Old",'FTE Pivot for regular counts'!$A$2,"State","MD","Category",5,"Category2","Four-Year")</f>
        <v>0</v>
      </c>
      <c r="Z80" s="151">
        <f>+GETPIVOTDATA("Grand Total FTE - Old",'FTE Pivot for regular counts'!$A$2,"State","MD","Category",6,"Category2","Four-Year")</f>
        <v>2036.0333333333333</v>
      </c>
      <c r="AA80" s="151">
        <f>+GETPIVOTDATA("Grand Total FTE - Old",'FTE Pivot for regular counts'!$A$2,"State","MD","Category2","Four-Year")</f>
        <v>92916.791666666672</v>
      </c>
      <c r="AB80" s="1" t="s">
        <v>483</v>
      </c>
    </row>
    <row r="81" spans="1:30" ht="15" customHeight="1">
      <c r="B81" s="34"/>
      <c r="C81" s="34"/>
      <c r="D81" s="34"/>
      <c r="E81" s="34"/>
      <c r="F81" s="34"/>
      <c r="G81" s="12"/>
      <c r="H81" s="137"/>
      <c r="U81" s="151"/>
      <c r="V81" s="151"/>
      <c r="W81" s="151"/>
      <c r="X81" s="151"/>
      <c r="Y81" s="151"/>
      <c r="Z81" s="151"/>
      <c r="AA81" s="151"/>
    </row>
    <row r="82" spans="1:30" ht="15" customHeight="1">
      <c r="A82" s="1" t="s">
        <v>484</v>
      </c>
      <c r="B82" s="34">
        <f>+Tables!B21+Tables!B51</f>
        <v>28079.316666666666</v>
      </c>
      <c r="C82" s="34">
        <f>+Tables!D21+Tables!C51</f>
        <v>20963.908333333336</v>
      </c>
      <c r="D82" s="34">
        <f>+Tables!F21+Tables!D51</f>
        <v>0</v>
      </c>
      <c r="E82" s="34">
        <f>+Tables!H21+Tables!E51</f>
        <v>6329.4000000000005</v>
      </c>
      <c r="F82" s="34">
        <f>+Tables!J21+Tables!F51</f>
        <v>4607.6666666666661</v>
      </c>
      <c r="G82" s="12">
        <f>+Tables!L21+Tables!G51</f>
        <v>0</v>
      </c>
      <c r="H82" s="137">
        <f>+Tables!N21+Tables!H51</f>
        <v>59980.291666666679</v>
      </c>
      <c r="U82" s="151">
        <f>+GETPIVOTDATA("Grand Total FTE - Old",'FTE Pivot for regular counts'!$A$2,"State","MS","Category",1,"Category2","Four-Year")</f>
        <v>27412.058333333334</v>
      </c>
      <c r="V82" s="151">
        <f>+GETPIVOTDATA("Grand Total FTE - Old",'FTE Pivot for regular counts'!$A$2,"State","MS","Category",2,"Category2","Four-Year")</f>
        <v>21435.350000000002</v>
      </c>
      <c r="W82" s="151">
        <f>+GETPIVOTDATA("Grand Total FTE - Old",'FTE Pivot for regular counts'!$A$2,"State","MS","Category",3,"Category2","Four-Year")</f>
        <v>0</v>
      </c>
      <c r="X82" s="151">
        <f>+GETPIVOTDATA("Grand Total FTE - Old",'FTE Pivot for regular counts'!$A$2,"State","MS","Category",4,"Category2","Four-Year")</f>
        <v>6613.75</v>
      </c>
      <c r="Y82" s="151">
        <f>+GETPIVOTDATA("Grand Total FTE - Old",'FTE Pivot for regular counts'!$A$2,"State","MS","Category",5,"Category2","Four-Year")</f>
        <v>4901.4333333333334</v>
      </c>
      <c r="Z82" s="151">
        <f>+GETPIVOTDATA("Grand Total FTE - Old",'FTE Pivot for regular counts'!$A$2,"State","MS","Category",6,"Category2","Four-Year")</f>
        <v>0</v>
      </c>
      <c r="AA82" s="151">
        <f>+GETPIVOTDATA("Grand Total FTE - Old",'FTE Pivot for regular counts'!$A$2,"State","MS","Category2","Four-Year")</f>
        <v>60362.591666666674</v>
      </c>
      <c r="AB82" s="1" t="s">
        <v>484</v>
      </c>
    </row>
    <row r="83" spans="1:30" ht="15" customHeight="1">
      <c r="A83" s="1" t="s">
        <v>485</v>
      </c>
      <c r="B83" s="34">
        <f>+Tables!B22+Tables!B52</f>
        <v>52364.26666666667</v>
      </c>
      <c r="C83" s="34">
        <f>+Tables!D22+Tables!C52</f>
        <v>35457.058333333334</v>
      </c>
      <c r="D83" s="34">
        <f>+Tables!F22+Tables!D52</f>
        <v>76423.399999999994</v>
      </c>
      <c r="E83" s="34">
        <f>+Tables!H22+Tables!E52</f>
        <v>6051.75</v>
      </c>
      <c r="F83" s="34">
        <f>+Tables!J22+Tables!F52</f>
        <v>11286.916666666668</v>
      </c>
      <c r="G83" s="12">
        <f>+Tables!L22+Tables!G52</f>
        <v>6120.1916666666666</v>
      </c>
      <c r="H83" s="137">
        <f>+Tables!N22+Tables!H52</f>
        <v>187703.58333333334</v>
      </c>
      <c r="U83" s="151">
        <f>+GETPIVOTDATA("Grand Total FTE - Old",'FTE Pivot for regular counts'!$A$2,"State","NC","Category",1,"Category2","Four-Year")</f>
        <v>51330.683333333334</v>
      </c>
      <c r="V83" s="151">
        <f>+GETPIVOTDATA("Grand Total FTE - Old",'FTE Pivot for regular counts'!$A$2,"State","NC","Category",2,"Category2","Four-Year")</f>
        <v>33695.166666666664</v>
      </c>
      <c r="W83" s="151">
        <f>+GETPIVOTDATA("Grand Total FTE - Old",'FTE Pivot for regular counts'!$A$2,"State","NC","Category",3,"Category2","Four-Year")</f>
        <v>74468.966666666674</v>
      </c>
      <c r="X83" s="151">
        <f>+GETPIVOTDATA("Grand Total FTE - Old",'FTE Pivot for regular counts'!$A$2,"State","NC","Category",4,"Category2","Four-Year")</f>
        <v>6315.5666666666666</v>
      </c>
      <c r="Y83" s="151">
        <f>+GETPIVOTDATA("Grand Total FTE - Old",'FTE Pivot for regular counts'!$A$2,"State","NC","Category",5,"Category2","Four-Year")</f>
        <v>10630.174999999999</v>
      </c>
      <c r="Z83" s="151">
        <f>+GETPIVOTDATA("Grand Total FTE - Old",'FTE Pivot for regular counts'!$A$2,"State","NC","Category",6,"Category2","Four-Year")</f>
        <v>6080.2666666666664</v>
      </c>
      <c r="AA83" s="151">
        <f>+GETPIVOTDATA("Grand Total FTE - Old",'FTE Pivot for regular counts'!$A$2,"State","NC","Category2","Four-Year")</f>
        <v>182520.82500000001</v>
      </c>
      <c r="AB83" s="1" t="s">
        <v>485</v>
      </c>
    </row>
    <row r="84" spans="1:30" ht="15" customHeight="1">
      <c r="A84" s="1" t="s">
        <v>486</v>
      </c>
      <c r="B84" s="34">
        <f>+Tables!B23+Tables!B53</f>
        <v>43029.3</v>
      </c>
      <c r="C84" s="34">
        <f>+Tables!D23+Tables!C53</f>
        <v>0</v>
      </c>
      <c r="D84" s="34">
        <f>+Tables!F23+Tables!D53</f>
        <v>18477.241666666669</v>
      </c>
      <c r="E84" s="34">
        <f>+Tables!H23+Tables!E53</f>
        <v>0</v>
      </c>
      <c r="F84" s="34">
        <f>+Tables!J23+Tables!F53</f>
        <v>19462.025000000001</v>
      </c>
      <c r="G84" s="12">
        <f>+Tables!L23+Tables!G53</f>
        <v>4970.333333333333</v>
      </c>
      <c r="H84" s="137">
        <f>+Tables!N23+Tables!H53</f>
        <v>85938.9</v>
      </c>
      <c r="U84" s="151">
        <f>+GETPIVOTDATA("Grand Total FTE - Old",'FTE Pivot for regular counts'!$A$2,"State","OK","Category",1,"Category2","Four-Year")</f>
        <v>42986.8</v>
      </c>
      <c r="V84" s="151">
        <f>+GETPIVOTDATA("Grand Total FTE - Old",'FTE Pivot for regular counts'!$A$2,"State","OK","Category",2,"Category2","Four-Year")</f>
        <v>0</v>
      </c>
      <c r="W84" s="151">
        <f>+GETPIVOTDATA("Grand Total FTE - Old",'FTE Pivot for regular counts'!$A$2,"State","OK","Category",3,"Category2","Four-Year")</f>
        <v>19265.308333333334</v>
      </c>
      <c r="X84" s="151">
        <f>+GETPIVOTDATA("Grand Total FTE - Old",'FTE Pivot for regular counts'!$A$2,"State","OK","Category",4,"Category2","Four-Year")</f>
        <v>0</v>
      </c>
      <c r="Y84" s="151">
        <f>+GETPIVOTDATA("Grand Total FTE - Old",'FTE Pivot for regular counts'!$A$2,"State","OK","Category",5,"Category2","Four-Year")</f>
        <v>19829.416666666668</v>
      </c>
      <c r="Z84" s="151">
        <f>+GETPIVOTDATA("Grand Total FTE - Old",'FTE Pivot for regular counts'!$A$2,"State","OK","Category",6,"Category2","Four-Year")</f>
        <v>4964.4666666666672</v>
      </c>
      <c r="AA84" s="151">
        <f>+GETPIVOTDATA("Grand Total FTE - Old",'FTE Pivot for regular counts'!$A$2,"State","OK","Category2","Four-Year")</f>
        <v>87045.991666666669</v>
      </c>
      <c r="AB84" s="1" t="s">
        <v>486</v>
      </c>
    </row>
    <row r="85" spans="1:30" ht="15" customHeight="1">
      <c r="A85" s="1" t="s">
        <v>487</v>
      </c>
      <c r="B85" s="34">
        <f>+Tables!B24+Tables!B54</f>
        <v>40917.258333333331</v>
      </c>
      <c r="C85" s="34">
        <f>+Tables!D24+Tables!C54</f>
        <v>0</v>
      </c>
      <c r="D85" s="34">
        <f>+Tables!F24+Tables!D54</f>
        <v>15757.025000000001</v>
      </c>
      <c r="E85" s="34">
        <f>+Tables!H24+Tables!E54</f>
        <v>3377.7125000000001</v>
      </c>
      <c r="F85" s="34">
        <f>+Tables!J24+Tables!F54</f>
        <v>17895.274999999998</v>
      </c>
      <c r="G85" s="12">
        <f>+Tables!L24+Tables!G54</f>
        <v>7395.5833333333339</v>
      </c>
      <c r="H85" s="137">
        <f>+Tables!N24+Tables!H54</f>
        <v>85342.854166666657</v>
      </c>
      <c r="U85" s="151">
        <f>+GETPIVOTDATA("Grand Total FTE - Old",'FTE Pivot for regular counts'!$A$2,"State","SC","Category",1,"Category2","Four-Year")</f>
        <v>39499.991666666669</v>
      </c>
      <c r="V85" s="151">
        <f>+GETPIVOTDATA("Grand Total FTE - Old",'FTE Pivot for regular counts'!$A$2,"State","SC","Category",2,"Category2","Four-Year")</f>
        <v>0</v>
      </c>
      <c r="W85" s="151">
        <f>+GETPIVOTDATA("Grand Total FTE - Old",'FTE Pivot for regular counts'!$A$2,"State","SC","Category",3,"Category2","Four-Year")</f>
        <v>15719.241666666667</v>
      </c>
      <c r="X85" s="151">
        <f>+GETPIVOTDATA("Grand Total FTE - Old",'FTE Pivot for regular counts'!$A$2,"State","SC","Category",4,"Category2","Four-Year")</f>
        <v>3338.4333333333334</v>
      </c>
      <c r="Y85" s="151">
        <f>+GETPIVOTDATA("Grand Total FTE - Old",'FTE Pivot for regular counts'!$A$2,"State","SC","Category",5,"Category2","Four-Year")</f>
        <v>17456.14166666667</v>
      </c>
      <c r="Z85" s="151">
        <f>+GETPIVOTDATA("Grand Total FTE - Old",'FTE Pivot for regular counts'!$A$2,"State","SC","Category",6,"Category2","Four-Year")</f>
        <v>7266.0083333333341</v>
      </c>
      <c r="AA85" s="151">
        <f>+GETPIVOTDATA("Grand Total FTE - Old",'FTE Pivot for regular counts'!$A$2,"State","SC","Category2","Four-Year")</f>
        <v>83279.81666666668</v>
      </c>
      <c r="AB85" s="1" t="s">
        <v>487</v>
      </c>
    </row>
    <row r="86" spans="1:30" ht="15" customHeight="1">
      <c r="B86" s="34"/>
      <c r="C86" s="34"/>
      <c r="D86" s="34"/>
      <c r="E86" s="34"/>
      <c r="F86" s="34"/>
      <c r="G86" s="12"/>
      <c r="H86" s="137"/>
      <c r="U86" s="151"/>
      <c r="V86" s="151"/>
      <c r="W86" s="151"/>
      <c r="X86" s="151"/>
      <c r="Y86" s="151"/>
      <c r="Z86" s="151"/>
      <c r="AA86" s="151"/>
    </row>
    <row r="87" spans="1:30" ht="15" customHeight="1">
      <c r="A87" s="1" t="s">
        <v>488</v>
      </c>
      <c r="B87" s="34">
        <f>+Tables!B26+Tables!B56</f>
        <v>25800.541666666664</v>
      </c>
      <c r="C87" s="34">
        <f>+Tables!D26+Tables!C56</f>
        <v>16554.8</v>
      </c>
      <c r="D87" s="34">
        <f>+Tables!F26+Tables!D56</f>
        <v>48197.51666666667</v>
      </c>
      <c r="E87" s="34">
        <f>+Tables!H26+Tables!E56</f>
        <v>16561.116666666665</v>
      </c>
      <c r="F87" s="34">
        <f>+Tables!J26+Tables!F56</f>
        <v>6416.8833333333332</v>
      </c>
      <c r="G87" s="12">
        <f>+Tables!L26+Tables!G56</f>
        <v>0</v>
      </c>
      <c r="H87" s="137">
        <f>+Tables!N26+Tables!H56</f>
        <v>113530.85833333332</v>
      </c>
      <c r="U87" s="151">
        <f>+GETPIVOTDATA("Grand Total FTE - Old",'FTE Pivot for regular counts'!$A$2,"State","TN","Category",1,"Category2","Four-Year")</f>
        <v>25035.724999999999</v>
      </c>
      <c r="V87" s="151">
        <f>+GETPIVOTDATA("Grand Total FTE - Old",'FTE Pivot for regular counts'!$A$2,"State","TN","Category",2,"Category2","Four-Year")</f>
        <v>16525.408333333333</v>
      </c>
      <c r="W87" s="151">
        <f>+GETPIVOTDATA("Grand Total FTE - Old",'FTE Pivot for regular counts'!$A$2,"State","TN","Category",3,"Category2","Four-Year")</f>
        <v>47483.974999999999</v>
      </c>
      <c r="X87" s="151">
        <f>+GETPIVOTDATA("Grand Total FTE - Old",'FTE Pivot for regular counts'!$A$2,"State","TN","Category",4,"Category2","Four-Year")</f>
        <v>16034.716666666665</v>
      </c>
      <c r="Y87" s="151">
        <f>+GETPIVOTDATA("Grand Total FTE - Old",'FTE Pivot for regular counts'!$A$2,"State","TN","Category",5,"Category2","Four-Year")</f>
        <v>6285.9333333333334</v>
      </c>
      <c r="Z87" s="151">
        <f>+GETPIVOTDATA("Grand Total FTE - Old",'FTE Pivot for regular counts'!$A$2,"State","TN","Category",6,"Category2","Four-Year")</f>
        <v>0</v>
      </c>
      <c r="AA87" s="151">
        <f>+GETPIVOTDATA("Grand Total FTE - Old",'FTE Pivot for regular counts'!$A$2,"State","TN","Category2","Four-Year")</f>
        <v>111365.75833333333</v>
      </c>
      <c r="AB87" s="1" t="s">
        <v>488</v>
      </c>
    </row>
    <row r="88" spans="1:30" ht="15" customHeight="1">
      <c r="A88" s="1" t="s">
        <v>489</v>
      </c>
      <c r="B88" s="34">
        <f>+Tables!B27+Tables!B57</f>
        <v>203537.75</v>
      </c>
      <c r="C88" s="34">
        <f>+Tables!D27+Tables!C57</f>
        <v>25617.641666666663</v>
      </c>
      <c r="D88" s="34">
        <f>+Tables!F27+Tables!D57</f>
        <v>169177.65833333333</v>
      </c>
      <c r="E88" s="34">
        <f>+Tables!H27+Tables!E57</f>
        <v>11484.391666666666</v>
      </c>
      <c r="F88" s="34">
        <f>+Tables!J27+Tables!F57</f>
        <v>11339.025000000001</v>
      </c>
      <c r="G88" s="12">
        <f>+Tables!L27+Tables!G57</f>
        <v>1517.0333333333333</v>
      </c>
      <c r="H88" s="137">
        <f>+Tables!N27+Tables!H57</f>
        <v>422673.5</v>
      </c>
      <c r="U88" s="151">
        <f>+GETPIVOTDATA("Grand Total FTE - Old",'FTE Pivot for regular counts'!$A$2,"State","TX","Category",1,"Category2","Four-Year")</f>
        <v>200052.0333333333</v>
      </c>
      <c r="V88" s="151">
        <f>+GETPIVOTDATA("Grand Total FTE - Old",'FTE Pivot for regular counts'!$A$2,"State","TX","Category",2,"Category2","Four-Year")</f>
        <v>25038.791666666668</v>
      </c>
      <c r="W88" s="151">
        <f>+GETPIVOTDATA("Grand Total FTE - Old",'FTE Pivot for regular counts'!$A$2,"State","TX","Category",3,"Category2","Four-Year")</f>
        <v>167038.98333333331</v>
      </c>
      <c r="X88" s="151">
        <f>+GETPIVOTDATA("Grand Total FTE - Old",'FTE Pivot for regular counts'!$A$2,"State","TX","Category",4,"Category2","Four-Year")</f>
        <v>10688.558333333334</v>
      </c>
      <c r="Y88" s="151">
        <f>+GETPIVOTDATA("Grand Total FTE - Old",'FTE Pivot for regular counts'!$A$2,"State","TX","Category",5,"Category2","Four-Year")</f>
        <v>10841.658333333333</v>
      </c>
      <c r="Z88" s="151">
        <f>+GETPIVOTDATA("Grand Total FTE - Old",'FTE Pivot for regular counts'!$A$2,"State","TX","Category",6,"Category2","Four-Year")</f>
        <v>1519.5666666666668</v>
      </c>
      <c r="AA88" s="151">
        <f>+GETPIVOTDATA("Grand Total FTE - Old",'FTE Pivot for regular counts'!$A$2,"State","TX","Category2","Four-Year")</f>
        <v>415179.59166666656</v>
      </c>
      <c r="AB88" s="1" t="s">
        <v>489</v>
      </c>
    </row>
    <row r="89" spans="1:30" ht="15" customHeight="1">
      <c r="A89" s="1" t="s">
        <v>490</v>
      </c>
      <c r="B89" s="34">
        <f>+Tables!B28+Tables!B58</f>
        <v>76804.191666666666</v>
      </c>
      <c r="C89" s="34">
        <f>+Tables!D28+Tables!C58</f>
        <v>51801.966666666667</v>
      </c>
      <c r="D89" s="34">
        <f>+Tables!F28+Tables!D58</f>
        <v>26753.141666666666</v>
      </c>
      <c r="E89" s="34">
        <f>+Tables!H28+Tables!E58</f>
        <v>14495.625</v>
      </c>
      <c r="F89" s="34">
        <f>+Tables!J28+Tables!F58</f>
        <v>8722.1833333333343</v>
      </c>
      <c r="G89" s="12">
        <f>+Tables!L28+Tables!G58</f>
        <v>1624.3</v>
      </c>
      <c r="H89" s="137">
        <f>+Tables!N28+Tables!H58</f>
        <v>180201.40833333333</v>
      </c>
      <c r="U89" s="151">
        <f>+GETPIVOTDATA("Grand Total FTE - Old",'FTE Pivot for regular counts'!$A$2,"State","VA","Category",1,"Category2","Four-Year")</f>
        <v>75200.991666666669</v>
      </c>
      <c r="V89" s="151">
        <f>+GETPIVOTDATA("Grand Total FTE - Old",'FTE Pivot for regular counts'!$A$2,"State","VA","Category",2,"Category2","Four-Year")</f>
        <v>49954.145833333328</v>
      </c>
      <c r="W89" s="151">
        <f>+GETPIVOTDATA("Grand Total FTE - Old",'FTE Pivot for regular counts'!$A$2,"State","VA","Category",3,"Category2","Four-Year")</f>
        <v>26241.741666666669</v>
      </c>
      <c r="X89" s="151">
        <f>+GETPIVOTDATA("Grand Total FTE - Old",'FTE Pivot for regular counts'!$A$2,"State","VA","Category",4,"Category2","Four-Year")</f>
        <v>14342.716666666667</v>
      </c>
      <c r="Y89" s="151">
        <f>+GETPIVOTDATA("Grand Total FTE - Old",'FTE Pivot for regular counts'!$A$2,"State","VA","Category",5,"Category2","Four-Year")</f>
        <v>8682.2249999999985</v>
      </c>
      <c r="Z89" s="151">
        <f>+GETPIVOTDATA("Grand Total FTE - Old",'FTE Pivot for regular counts'!$A$2,"State","VA","Category",6,"Category2","Four-Year")</f>
        <v>1675.7333333333333</v>
      </c>
      <c r="AA89" s="151">
        <f>+GETPIVOTDATA("Grand Total FTE - Old",'FTE Pivot for regular counts'!$A$2,"State","VA","Category2","Four-Year")</f>
        <v>176097.55416666667</v>
      </c>
      <c r="AB89" s="1" t="s">
        <v>490</v>
      </c>
    </row>
    <row r="90" spans="1:30" ht="15" customHeight="1">
      <c r="A90" s="3" t="s">
        <v>491</v>
      </c>
      <c r="B90" s="13">
        <f>+Tables!B29+Tables!B59</f>
        <v>25898.674999999999</v>
      </c>
      <c r="C90" s="13">
        <f>+Tables!D29+Tables!C59</f>
        <v>0</v>
      </c>
      <c r="D90" s="13">
        <f>+Tables!F29+Tables!D59</f>
        <v>10830.358333333334</v>
      </c>
      <c r="E90" s="13">
        <f>+Tables!H29+Tables!E59</f>
        <v>0</v>
      </c>
      <c r="F90" s="13">
        <f>+Tables!J29+Tables!F59</f>
        <v>0</v>
      </c>
      <c r="G90" s="14">
        <f>+Tables!L29+Tables!G59</f>
        <v>19087.87</v>
      </c>
      <c r="H90" s="138">
        <f>+Tables!N29+Tables!H59</f>
        <v>55816.903333333335</v>
      </c>
      <c r="U90" s="151">
        <f>+GETPIVOTDATA("Grand Total FTE - Old",'FTE Pivot for regular counts'!$A$2,"State","WV","Category",1,"Category2","Four-Year")</f>
        <v>25443.133333333335</v>
      </c>
      <c r="V90" s="151">
        <f>+GETPIVOTDATA("Grand Total FTE - Old",'FTE Pivot for regular counts'!$A$2,"State","WV","Category",2,"Category2","Four-Year")</f>
        <v>0</v>
      </c>
      <c r="W90" s="151">
        <f>+GETPIVOTDATA("Grand Total FTE - Old",'FTE Pivot for regular counts'!$A$2,"State","WV","Category",3,"Category2","Four-Year")</f>
        <v>11005.599999999999</v>
      </c>
      <c r="X90" s="151">
        <f>+GETPIVOTDATA("Grand Total FTE - Old",'FTE Pivot for regular counts'!$A$2,"State","WV","Category",4,"Category2","Four-Year")</f>
        <v>0</v>
      </c>
      <c r="Y90" s="151">
        <f>+GETPIVOTDATA("Grand Total FTE - Old",'FTE Pivot for regular counts'!$A$2,"State","WV","Category",5,"Category2","Four-Year")</f>
        <v>0</v>
      </c>
      <c r="Z90" s="151">
        <f>+GETPIVOTDATA("Grand Total FTE - Old",'FTE Pivot for regular counts'!$A$2,"State","WV","Category",6,"Category2","Four-Year")</f>
        <v>18880.124166666665</v>
      </c>
      <c r="AA90" s="151">
        <f>+GETPIVOTDATA("Grand Total FTE - Old",'FTE Pivot for regular counts'!$A$2,"State","WV","Category2","Four-Year")</f>
        <v>55328.857499999998</v>
      </c>
      <c r="AB90" s="3" t="s">
        <v>491</v>
      </c>
    </row>
    <row r="91" spans="1:30" s="25" customFormat="1" ht="9.9499999999999993" customHeight="1">
      <c r="A91" s="77"/>
      <c r="B91" s="16"/>
      <c r="C91" s="16"/>
      <c r="D91" s="16"/>
      <c r="E91" s="16"/>
      <c r="F91" s="16"/>
      <c r="G91" s="16"/>
      <c r="H91" s="133"/>
      <c r="I91" s="15"/>
      <c r="J91" s="127"/>
      <c r="K91" s="127"/>
      <c r="L91" s="127"/>
      <c r="M91" s="127"/>
    </row>
    <row r="92" spans="1:30" ht="51.75" customHeight="1">
      <c r="A92" s="680" t="s">
        <v>104</v>
      </c>
      <c r="B92" s="681"/>
      <c r="C92" s="681"/>
      <c r="D92" s="681"/>
      <c r="E92" s="681"/>
      <c r="F92" s="681"/>
      <c r="G92" s="681"/>
      <c r="H92" s="681"/>
    </row>
    <row r="93" spans="1:30">
      <c r="A93" s="50"/>
      <c r="B93" s="51"/>
      <c r="C93" s="51"/>
      <c r="D93" s="51"/>
      <c r="E93" s="51"/>
      <c r="F93" s="51"/>
      <c r="G93" s="51"/>
      <c r="H93" s="424" t="s">
        <v>94</v>
      </c>
    </row>
    <row r="94" spans="1:30" ht="18">
      <c r="A94" s="676" t="s">
        <v>426</v>
      </c>
      <c r="B94" s="676"/>
      <c r="C94" s="676"/>
      <c r="D94" s="676"/>
      <c r="E94" s="676"/>
      <c r="F94" s="676"/>
      <c r="G94" s="676"/>
      <c r="H94" s="676"/>
      <c r="I94" s="676"/>
      <c r="J94" s="676"/>
      <c r="K94" s="417"/>
      <c r="L94" s="417"/>
      <c r="M94" s="434"/>
    </row>
    <row r="95" spans="1:30" ht="15.75">
      <c r="A95" s="21"/>
      <c r="B95" s="21"/>
      <c r="C95" s="21"/>
      <c r="D95" s="21"/>
      <c r="E95" s="21"/>
      <c r="F95" s="21"/>
      <c r="G95" s="21"/>
      <c r="H95" s="129"/>
      <c r="I95" s="21"/>
      <c r="J95" s="129"/>
      <c r="K95" s="129"/>
      <c r="L95" s="129"/>
      <c r="M95" s="468"/>
      <c r="U95" s="1" t="s">
        <v>438</v>
      </c>
    </row>
    <row r="96" spans="1:30" ht="15.75">
      <c r="A96" s="677" t="s">
        <v>433</v>
      </c>
      <c r="B96" s="677"/>
      <c r="C96" s="677"/>
      <c r="D96" s="677"/>
      <c r="E96" s="677"/>
      <c r="F96" s="677"/>
      <c r="G96" s="677"/>
      <c r="H96" s="677"/>
      <c r="I96" s="677"/>
      <c r="J96" s="677"/>
      <c r="K96" s="236"/>
      <c r="L96" s="236"/>
      <c r="M96" s="469"/>
      <c r="U96" s="466" t="s">
        <v>433</v>
      </c>
      <c r="V96" s="236"/>
      <c r="W96" s="236"/>
      <c r="X96" s="236"/>
      <c r="Y96" s="236"/>
      <c r="Z96" s="236"/>
      <c r="AA96" s="236"/>
      <c r="AB96" s="236"/>
      <c r="AC96" s="236"/>
      <c r="AD96" s="236"/>
    </row>
    <row r="97" spans="1:30" ht="15.75">
      <c r="A97" s="677" t="s">
        <v>101</v>
      </c>
      <c r="B97" s="677"/>
      <c r="C97" s="677"/>
      <c r="D97" s="677"/>
      <c r="E97" s="677"/>
      <c r="F97" s="677"/>
      <c r="G97" s="677"/>
      <c r="H97" s="677"/>
      <c r="I97" s="677"/>
      <c r="J97" s="677"/>
      <c r="K97" s="236"/>
      <c r="L97" s="236"/>
      <c r="M97" s="469"/>
      <c r="U97" s="466" t="s">
        <v>437</v>
      </c>
      <c r="V97" s="236"/>
      <c r="W97" s="236"/>
      <c r="X97" s="236"/>
      <c r="Y97" s="236"/>
      <c r="Z97" s="236"/>
      <c r="AA97" s="236"/>
      <c r="AB97" s="236"/>
      <c r="AC97" s="236"/>
      <c r="AD97" s="236"/>
    </row>
    <row r="98" spans="1:30">
      <c r="B98" s="2"/>
      <c r="C98" s="2"/>
      <c r="D98" s="2"/>
      <c r="E98" s="2"/>
      <c r="F98" s="2"/>
      <c r="G98" s="2"/>
      <c r="H98" s="131"/>
      <c r="I98" s="2"/>
      <c r="J98" s="131"/>
      <c r="K98" s="131"/>
      <c r="L98" s="131"/>
      <c r="M98" s="461"/>
      <c r="U98" s="467"/>
      <c r="V98" s="2"/>
      <c r="W98" s="2"/>
      <c r="X98" s="2"/>
      <c r="Y98" s="2"/>
      <c r="Z98" s="2"/>
      <c r="AA98" s="2"/>
      <c r="AB98" s="2"/>
      <c r="AC98" s="2"/>
      <c r="AD98" s="2"/>
    </row>
    <row r="99" spans="1:30" ht="15" customHeight="1">
      <c r="A99" s="45"/>
      <c r="B99" s="57" t="s">
        <v>475</v>
      </c>
      <c r="C99" s="57"/>
      <c r="D99" s="27"/>
      <c r="E99" s="27"/>
      <c r="F99" s="28"/>
      <c r="G99" s="58" t="s">
        <v>453</v>
      </c>
      <c r="H99" s="115"/>
      <c r="I99" s="30"/>
      <c r="J99" s="116"/>
      <c r="K99" s="425" t="s">
        <v>421</v>
      </c>
      <c r="L99" s="425"/>
      <c r="M99" s="425"/>
      <c r="U99" s="45"/>
      <c r="V99" s="57" t="s">
        <v>475</v>
      </c>
      <c r="W99" s="57"/>
      <c r="X99" s="27"/>
      <c r="Y99" s="27"/>
      <c r="Z99" s="28"/>
      <c r="AA99" s="58" t="s">
        <v>453</v>
      </c>
      <c r="AB99" s="29"/>
      <c r="AC99" s="30"/>
      <c r="AD99" s="31"/>
    </row>
    <row r="100" spans="1:30" ht="36">
      <c r="A100" s="46"/>
      <c r="B100" s="59" t="s">
        <v>559</v>
      </c>
      <c r="C100" s="47">
        <v>1</v>
      </c>
      <c r="D100" s="47">
        <v>2</v>
      </c>
      <c r="E100" s="47">
        <v>3</v>
      </c>
      <c r="F100" s="60" t="s">
        <v>425</v>
      </c>
      <c r="G100" s="61">
        <v>1</v>
      </c>
      <c r="H100" s="118">
        <v>2</v>
      </c>
      <c r="I100" s="59" t="s">
        <v>420</v>
      </c>
      <c r="J100" s="117" t="s">
        <v>425</v>
      </c>
      <c r="K100" s="147"/>
      <c r="L100" s="147"/>
      <c r="M100" s="147"/>
      <c r="U100" s="46"/>
      <c r="V100" s="59" t="s">
        <v>559</v>
      </c>
      <c r="W100" s="47">
        <v>1</v>
      </c>
      <c r="X100" s="47">
        <v>2</v>
      </c>
      <c r="Y100" s="47">
        <v>3</v>
      </c>
      <c r="Z100" s="60" t="s">
        <v>425</v>
      </c>
      <c r="AA100" s="61">
        <v>1</v>
      </c>
      <c r="AB100" s="48">
        <v>2</v>
      </c>
      <c r="AC100" s="59" t="s">
        <v>420</v>
      </c>
      <c r="AD100" s="47" t="s">
        <v>425</v>
      </c>
    </row>
    <row r="101" spans="1:30" ht="15" customHeight="1">
      <c r="A101" s="1" t="s">
        <v>476</v>
      </c>
      <c r="B101" s="5">
        <f>+GETPIVOTDATA("Undergrad Student Credit Hour FTE - New",'FTE Pivot for regular counts'!$A$2,"Category","7","Category2","Two-Year")</f>
        <v>81537.700000000012</v>
      </c>
      <c r="C101" s="15">
        <f>+GETPIVOTDATA("Undergrad Student Credit Hour FTE - New",'FTE Pivot for regular counts'!$A$2,"Category","8","Category2","Two-Year")</f>
        <v>838636.0326666669</v>
      </c>
      <c r="D101" s="5">
        <f>+GETPIVOTDATA("Undergrad Student Credit Hour FTE - New",'FTE Pivot for regular counts'!$A$2,"Category","9","Category2","Two-Year")</f>
        <v>508889.27833333326</v>
      </c>
      <c r="E101" s="5">
        <f>+GETPIVOTDATA("Undergrad Student Credit Hour FTE - New",'FTE Pivot for regular counts'!$A$2,"Category","10","Category2","Two-Year")</f>
        <v>145841.633</v>
      </c>
      <c r="F101" s="23">
        <f>+GETPIVOTDATA("Undergrad Student Credit Hour FTE - New",'FTE Pivot for regular counts'!$A$2,"Category2","Two-Year")</f>
        <v>1574904.6439999999</v>
      </c>
      <c r="G101" s="18">
        <f>+GETPIVOTDATA("Undergrad Student Credit Hour FTE - New",'FTE Pivot for regular counts'!$A$2,"Category","12","Category2","Technical")</f>
        <v>73712.324444444443</v>
      </c>
      <c r="H101" s="127">
        <f>+GETPIVOTDATA("Undergrad Student Credit Hour FTE - New",'FTE Pivot for regular counts'!$A$2,"Category","13","Category2","Technical")</f>
        <v>7128.8944444444442</v>
      </c>
      <c r="I101" s="15">
        <f>+GETPIVOTDATA("Undergrad Student Credit Hour FTE - New",'FTE Pivot for regular counts'!$A$2,"Category",14,"Category2","Technical")</f>
        <v>14085.35</v>
      </c>
      <c r="J101" s="4">
        <f>+GETPIVOTDATA("Undergrad Student Credit Hour FTE - New",'FTE Pivot for regular counts'!$A$2,"Category2","Technical")</f>
        <v>94926.568888888884</v>
      </c>
      <c r="U101" s="1" t="s">
        <v>476</v>
      </c>
      <c r="V101" s="5">
        <f>+GETPIVOTDATA("Undergrad Student Credit Hour  FTE - Old",'FTE Pivot for regular counts'!$A$2,"Category","7","Category2","Two-Year")</f>
        <v>77003.700000000012</v>
      </c>
      <c r="W101" s="15">
        <f>+GETPIVOTDATA("Undergrad Student Credit Hour  FTE - Old",'FTE Pivot for regular counts'!$A$2,"Category","8","Category2","Two-Year")</f>
        <v>790837.94666666666</v>
      </c>
      <c r="X101" s="5">
        <f>+GETPIVOTDATA("Undergrad Student Credit Hour  FTE - Old",'FTE Pivot for regular counts'!$A$2,"Category","9","Category2","Two-Year")</f>
        <v>488662.32400000002</v>
      </c>
      <c r="Y101" s="5">
        <f>+GETPIVOTDATA("Undergrad Student Credit Hour  FTE - Old",'FTE Pivot for regular counts'!$A$2,"Category","10","Category2","Two-Year")</f>
        <v>138861.55433333333</v>
      </c>
      <c r="Z101" s="23">
        <f>+GETPIVOTDATA("Undergrad Student Credit Hour  FTE - Old",'FTE Pivot for regular counts'!$A$2,"Category2","Two-Year")</f>
        <v>1495365.5249999997</v>
      </c>
      <c r="AA101" s="18">
        <f>+GETPIVOTDATA("Undergrad Student Credit Hour  FTE - Old",'FTE Pivot for regular counts'!$A$2,"Category","12","Category2","Technical")</f>
        <v>70182.517777777757</v>
      </c>
      <c r="AB101" s="15">
        <f>+GETPIVOTDATA("Undergrad Student Credit Hour  FTE - Old",'FTE Pivot for regular counts'!$A$2,"Category","13","Category2","Technical")</f>
        <v>6939.4588888888893</v>
      </c>
      <c r="AC101" s="15">
        <f>+GETPIVOTDATA("Undergrad Student Credit Hour  FTE - Old",'FTE Pivot for regular counts'!$A$2,"Category",14,"Category2","Technical")</f>
        <v>12994.2</v>
      </c>
      <c r="AD101" s="1">
        <f>+GETPIVOTDATA("Undergrad Student Credit Hour  FTE - Old",'FTE Pivot for regular counts'!$A$2,"Category2","Technical")</f>
        <v>90116.176666666652</v>
      </c>
    </row>
    <row r="102" spans="1:30" ht="15" customHeight="1">
      <c r="B102" s="5"/>
      <c r="C102" s="15"/>
      <c r="D102" s="5"/>
      <c r="E102" s="5"/>
      <c r="F102" s="23"/>
      <c r="G102" s="18"/>
      <c r="H102" s="127"/>
      <c r="I102" s="15"/>
      <c r="V102" s="5"/>
      <c r="W102" s="15"/>
      <c r="X102" s="5"/>
      <c r="Y102" s="5"/>
      <c r="Z102" s="23"/>
      <c r="AA102" s="18"/>
      <c r="AB102" s="15"/>
      <c r="AC102" s="15"/>
    </row>
    <row r="103" spans="1:30" ht="15" customHeight="1">
      <c r="A103" s="1" t="s">
        <v>477</v>
      </c>
      <c r="B103" s="5">
        <f>+GETPIVOTDATA("Undergrad Student Credit Hour FTE - New",'FTE Pivot for regular counts'!$A$2,"State","AL","Category","7","Category2","Two-Year")</f>
        <v>0</v>
      </c>
      <c r="C103" s="15">
        <f>+GETPIVOTDATA("Undergrad Student Credit Hour FTE - New",'FTE Pivot for regular counts'!$A$2,"State","AL","Category","8","Category2","Two-Year")</f>
        <v>12510.366666666665</v>
      </c>
      <c r="D103" s="5">
        <f>+GETPIVOTDATA("Undergrad Student Credit Hour FTE - New",'FTE Pivot for regular counts'!$A$2,"State","AL","Category","9","Category2","Two-Year")</f>
        <v>35622.333333333336</v>
      </c>
      <c r="E103" s="5">
        <f>+GETPIVOTDATA("Undergrad Student Credit Hour FTE - New",'FTE Pivot for regular counts'!$A$2,"State","AL","Category","10","Category2","Two-Year")</f>
        <v>14533.866666666669</v>
      </c>
      <c r="F103" s="23">
        <f>+GETPIVOTDATA("Undergrad Student Credit Hour FTE - New",'FTE Pivot for regular counts'!$A$2,"State","AL","Category2","Two-Year")</f>
        <v>62666.566666666666</v>
      </c>
      <c r="G103" s="18">
        <f>+GETPIVOTDATA("Undergrad Student Credit Hour FTE - New",'FTE Pivot for regular counts'!$A$2,"State","AL","Category","12","Category2","Technical")</f>
        <v>1225.2666666666667</v>
      </c>
      <c r="H103" s="127">
        <f>+GETPIVOTDATA("Undergrad Student Credit Hour FTE - New",'FTE Pivot for regular counts'!$A$2,"State","AL","Category","13","Category2","Technical")</f>
        <v>1885.5</v>
      </c>
      <c r="I103" s="15">
        <f>+GETPIVOTDATA("Undergrad Student Credit Hour FTE - New",'FTE Pivot for regular counts'!$A$2,"State","AL","Category",14,"Category2","Technical")</f>
        <v>0</v>
      </c>
      <c r="J103" s="4">
        <f>+GETPIVOTDATA("Undergrad Student Credit Hour FTE - New",'FTE Pivot for regular counts'!$A$2,"State","AL","Category2","Technical")</f>
        <v>3110.7666666666664</v>
      </c>
      <c r="U103" s="1" t="s">
        <v>477</v>
      </c>
      <c r="V103" s="5">
        <f>+GETPIVOTDATA("Undergrad Student Credit Hour  FTE - Old",'FTE Pivot for regular counts'!$A$2,"State","AL","Category","7","Category2","Two-Year")</f>
        <v>0</v>
      </c>
      <c r="W103" s="15">
        <f>+GETPIVOTDATA("Undergrad Student Credit Hour  FTE - Old",'FTE Pivot for regular counts'!$A$2,"State","AL","Category","8","Category2","Two-Year")</f>
        <v>11777.233333333334</v>
      </c>
      <c r="X103" s="5">
        <f>+GETPIVOTDATA("Undergrad Student Credit Hour  FTE - Old",'FTE Pivot for regular counts'!$A$2,"State","AL","Category","9","Category2","Two-Year")</f>
        <v>34869.76666666667</v>
      </c>
      <c r="Y103" s="5">
        <f>+GETPIVOTDATA("Undergrad Student Credit Hour  FTE - Old",'FTE Pivot for regular counts'!$A$2,"State","AL","Category","10","Category2","Two-Year")</f>
        <v>13943.666666666666</v>
      </c>
      <c r="Z103" s="23">
        <f>+GETPIVOTDATA("Undergrad Student Credit Hour  FTE - Old",'FTE Pivot for regular counts'!$A$2,"State","AL","Category2","Two-Year")</f>
        <v>60590.666666666664</v>
      </c>
      <c r="AA103" s="18">
        <f>+GETPIVOTDATA("Undergrad Student Credit Hour  FTE - Old",'FTE Pivot for regular counts'!$A$2,"State","AL","Category","12","Category2","Technical")</f>
        <v>1207.2</v>
      </c>
      <c r="AB103" s="15">
        <f>+GETPIVOTDATA("Undergrad Student Credit Hour  FTE - Old",'FTE Pivot for regular counts'!$A$2,"State","AL","Category","13","Category2","Technical")</f>
        <v>1863.0666666666666</v>
      </c>
      <c r="AC103" s="15">
        <f>+GETPIVOTDATA("Undergrad Student Credit Hour  FTE - Old",'FTE Pivot for regular counts'!$A$2,"State","AL","Category",14,"Category2","Technical")</f>
        <v>0</v>
      </c>
      <c r="AD103" s="1">
        <f>+GETPIVOTDATA("Undergrad Student Credit Hour  FTE - Old",'FTE Pivot for regular counts'!$A$2,"State","AL","Category2","Technical")</f>
        <v>3070.2666666666664</v>
      </c>
    </row>
    <row r="104" spans="1:30" ht="15" customHeight="1">
      <c r="A104" s="4" t="s">
        <v>478</v>
      </c>
      <c r="B104" s="15">
        <f>+GETPIVOTDATA("Undergrad Student Credit Hour FTE - New",'FTE Pivot for regular counts'!$A$2,"State","AR","Category","7","Category2","Two-Year")</f>
        <v>0</v>
      </c>
      <c r="C104" s="15">
        <f>+GETPIVOTDATA("Undergrad Student Credit Hour FTE - New",'FTE Pivot for regular counts'!$A$2,"State","AR","Category","8","Category2","Two-Year")</f>
        <v>6341.166666666667</v>
      </c>
      <c r="D104" s="15">
        <f>+GETPIVOTDATA("Undergrad Student Credit Hour FTE - New",'FTE Pivot for regular counts'!$A$2,"State","AR","Category","9","Category2","Two-Year")</f>
        <v>7718.1666666666661</v>
      </c>
      <c r="E104" s="15">
        <f>+GETPIVOTDATA("Undergrad Student Credit Hour FTE - New",'FTE Pivot for regular counts'!$A$2,"State","AR","Category","10","Category2","Two-Year")</f>
        <v>22681.599999999999</v>
      </c>
      <c r="F104" s="23">
        <f>+GETPIVOTDATA("Undergrad Student Credit Hour FTE - New",'FTE Pivot for regular counts'!$A$2,"State","AR","Category2","Two-Year")</f>
        <v>36740.933333333334</v>
      </c>
      <c r="G104" s="18">
        <f>+GETPIVOTDATA("Undergrad Student Credit Hour FTE - New",'FTE Pivot for regular counts'!$A$2,"State","AR","Category","12","Category2","Technical")</f>
        <v>0</v>
      </c>
      <c r="H104" s="127">
        <f>+GETPIVOTDATA("Undergrad Student Credit Hour FTE - New",'FTE Pivot for regular counts'!$A$2,"State","AR","Category","13","Category2","Technical")</f>
        <v>0</v>
      </c>
      <c r="I104" s="15">
        <f>+GETPIVOTDATA("Undergrad Student Credit Hour FTE - New",'FTE Pivot for regular counts'!$A$2,"State","AR","Category",14,"Category2","Technical")</f>
        <v>0</v>
      </c>
      <c r="J104" s="74">
        <f>+GETPIVOTDATA("Undergrad Student Credit Hour FTE - New",'FTE Pivot for regular counts'!$A$2,"State","AR","Category2","Technical")</f>
        <v>0</v>
      </c>
      <c r="K104" s="74"/>
      <c r="L104" s="74"/>
      <c r="U104" s="4" t="s">
        <v>478</v>
      </c>
      <c r="V104" s="15">
        <f>+GETPIVOTDATA("Undergrad Student Credit Hour  FTE - Old",'FTE Pivot for regular counts'!$A$2,"State","AR","Category","7","Category2","Two-Year")</f>
        <v>0</v>
      </c>
      <c r="W104" s="15">
        <f>+GETPIVOTDATA("Undergrad Student Credit Hour  FTE - Old",'FTE Pivot for regular counts'!$A$2,"State","AR","Category","8","Category2","Two-Year")</f>
        <v>6127.6333333333332</v>
      </c>
      <c r="X104" s="15">
        <f>+GETPIVOTDATA("Undergrad Student Credit Hour  FTE - Old",'FTE Pivot for regular counts'!$A$2,"State","AR","Category","9","Category2","Two-Year")</f>
        <v>6984.8666666666668</v>
      </c>
      <c r="Y104" s="15">
        <f>+GETPIVOTDATA("Undergrad Student Credit Hour  FTE - Old",'FTE Pivot for regular counts'!$A$2,"State","AR","Category","10","Category2","Two-Year")</f>
        <v>21402.766666666666</v>
      </c>
      <c r="Z104" s="23">
        <f>+GETPIVOTDATA("Undergrad Student Credit Hour  FTE - Old",'FTE Pivot for regular counts'!$A$2,"State","AR","Category2","Two-Year")</f>
        <v>34515.266666666663</v>
      </c>
      <c r="AA104" s="18">
        <f>+GETPIVOTDATA("Undergrad Student Credit Hour  FTE - Old",'FTE Pivot for regular counts'!$A$2,"State","AR","Category","12","Category2","Technical")</f>
        <v>0</v>
      </c>
      <c r="AB104" s="15">
        <f>+GETPIVOTDATA("Undergrad Student Credit Hour  FTE - Old",'FTE Pivot for regular counts'!$A$2,"State","AR","Category","13","Category2","Technical")</f>
        <v>0</v>
      </c>
      <c r="AC104" s="15">
        <f>+GETPIVOTDATA("Undergrad Student Credit Hour  FTE - Old",'FTE Pivot for regular counts'!$A$2,"State","AR","Category",14,"Category2","Technical")</f>
        <v>0</v>
      </c>
      <c r="AD104" s="25">
        <f>+GETPIVOTDATA("Undergrad Student Credit Hour  FTE - Old",'FTE Pivot for regular counts'!$A$2,"State","AR","Category2","Technical")</f>
        <v>0</v>
      </c>
    </row>
    <row r="105" spans="1:30" ht="15" customHeight="1">
      <c r="A105" s="1" t="s">
        <v>515</v>
      </c>
      <c r="B105" s="15">
        <f>+GETPIVOTDATA("Undergrad Student Credit Hour FTE - New",'FTE Pivot for regular counts'!$A$2,"State","DE","Category","7","Category2","Two-Year")</f>
        <v>0</v>
      </c>
      <c r="C105" s="15">
        <f>+GETPIVOTDATA("Undergrad Student Credit Hour FTE - New",'FTE Pivot for regular counts'!$A$2,"State","DE","Category","8","Category2","Two-Year")</f>
        <v>0</v>
      </c>
      <c r="D105" s="15">
        <f>+GETPIVOTDATA("Undergrad Student Credit Hour FTE - New",'FTE Pivot for regular counts'!$A$2,"State","DE","Category","9","Category2","Two-Year")</f>
        <v>7478.9</v>
      </c>
      <c r="E105" s="15">
        <f>+GETPIVOTDATA("Undergrad Student Credit Hour FTE - New",'FTE Pivot for regular counts'!$A$2,"State","DE","Category","10","Category2","Two-Year")</f>
        <v>2163.6666666666665</v>
      </c>
      <c r="F105" s="23">
        <f>+GETPIVOTDATA("Undergrad Student Credit Hour FTE - New",'FTE Pivot for regular counts'!$A$2,"State","DE","Category2","Two-Year")</f>
        <v>9642.5666666666657</v>
      </c>
      <c r="G105" s="18">
        <f>+GETPIVOTDATA("Undergrad Student Credit Hour FTE - New",'FTE Pivot for regular counts'!$A$2,"State","DE","Category","12","Category2","Technical")</f>
        <v>0</v>
      </c>
      <c r="H105" s="127">
        <f>+GETPIVOTDATA("Undergrad Student Credit Hour FTE - New",'FTE Pivot for regular counts'!$A$2,"State","DE","Category","13","Category2","Technical")</f>
        <v>0</v>
      </c>
      <c r="I105" s="15">
        <f>+GETPIVOTDATA("Undergrad Student Credit Hour FTE - New",'FTE Pivot for regular counts'!$A$2,"State","DE","Category",14,"Category2","Technical")</f>
        <v>0</v>
      </c>
      <c r="J105" s="74">
        <f>+GETPIVOTDATA("Undergrad Student Credit Hour FTE - New",'FTE Pivot for regular counts'!$A$2,"State","DE","Category2","Technical")</f>
        <v>0</v>
      </c>
      <c r="K105" s="74"/>
      <c r="L105" s="74"/>
      <c r="U105" s="1" t="s">
        <v>515</v>
      </c>
      <c r="V105" s="15">
        <f>+GETPIVOTDATA("Undergrad Student Credit Hour  FTE - Old",'FTE Pivot for regular counts'!$A$2,"State","DE","Category","7","Category2","Two-Year")</f>
        <v>0</v>
      </c>
      <c r="W105" s="15">
        <f>+GETPIVOTDATA("Undergrad Student Credit Hour  FTE - Old",'FTE Pivot for regular counts'!$A$2,"State","DE","Category","8","Category2","Two-Year")</f>
        <v>0</v>
      </c>
      <c r="X105" s="15">
        <f>+GETPIVOTDATA("Undergrad Student Credit Hour  FTE - Old",'FTE Pivot for regular counts'!$A$2,"State","DE","Category","9","Category2","Two-Year")</f>
        <v>7718.1</v>
      </c>
      <c r="Y105" s="15">
        <f>+GETPIVOTDATA("Undergrad Student Credit Hour  FTE - Old",'FTE Pivot for regular counts'!$A$2,"State","DE","Category","10","Category2","Two-Year")</f>
        <v>2103.6</v>
      </c>
      <c r="Z105" s="23">
        <f>+GETPIVOTDATA("Undergrad Student Credit Hour  FTE - Old",'FTE Pivot for regular counts'!$A$2,"State","DE","Category2","Two-Year")</f>
        <v>9821.7000000000007</v>
      </c>
      <c r="AA105" s="18">
        <f>+GETPIVOTDATA("Undergrad Student Credit Hour  FTE - Old",'FTE Pivot for regular counts'!$A$2,"State","DE","Category","12","Category2","Technical")</f>
        <v>0</v>
      </c>
      <c r="AB105" s="15">
        <f>+GETPIVOTDATA("Undergrad Student Credit Hour  FTE - Old",'FTE Pivot for regular counts'!$A$2,"State","DE","Category","13","Category2","Technical")</f>
        <v>0</v>
      </c>
      <c r="AC105" s="15">
        <f>+GETPIVOTDATA("Undergrad Student Credit Hour  FTE - Old",'FTE Pivot for regular counts'!$A$2,"State","DE","Category",14,"Category2","Technical")</f>
        <v>0</v>
      </c>
      <c r="AD105" s="25">
        <f>+GETPIVOTDATA("Undergrad Student Credit Hour  FTE - Old",'FTE Pivot for regular counts'!$A$2,"State","DE","Category2","Technical")</f>
        <v>0</v>
      </c>
    </row>
    <row r="106" spans="1:30" ht="15" customHeight="1">
      <c r="A106" s="1" t="s">
        <v>479</v>
      </c>
      <c r="B106" s="15">
        <f>+GETPIVOTDATA("Undergrad Student Credit Hour FTE - New",'FTE Pivot for regular counts'!$A$2,"State","FL","Category","7","Category2","Two-Year")</f>
        <v>69166.833333333328</v>
      </c>
      <c r="C106" s="15">
        <f>+GETPIVOTDATA("Undergrad Student Credit Hour FTE - New",'FTE Pivot for regular counts'!$A$2,"State","FL","Category","8","Category2","Two-Year")</f>
        <v>184128.43333333332</v>
      </c>
      <c r="D106" s="15">
        <f>+GETPIVOTDATA("Undergrad Student Credit Hour FTE - New",'FTE Pivot for regular counts'!$A$2,"State","FL","Category","9","Category2","Two-Year")</f>
        <v>23637.233333333337</v>
      </c>
      <c r="E106" s="15">
        <f>+GETPIVOTDATA("Undergrad Student Credit Hour FTE - New",'FTE Pivot for regular counts'!$A$2,"State","FL","Category","10","Category2","Two-Year")</f>
        <v>1549.8000000000002</v>
      </c>
      <c r="F106" s="23">
        <f>+GETPIVOTDATA("Undergrad Student Credit Hour FTE - New",'FTE Pivot for regular counts'!$A$2,"State","FL","Category2","Two-Year")</f>
        <v>278482.3</v>
      </c>
      <c r="G106" s="18">
        <f>+GETPIVOTDATA("Undergrad Student Credit Hour FTE - New",'FTE Pivot for regular counts'!$A$2,"State","FL","Category","12","Category2","Technical")</f>
        <v>0</v>
      </c>
      <c r="H106" s="127">
        <f>+GETPIVOTDATA("Undergrad Student Credit Hour FTE - New",'FTE Pivot for regular counts'!$A$2,"State","FL","Category","13","Category2","Technical")</f>
        <v>0</v>
      </c>
      <c r="I106" s="15">
        <f>+GETPIVOTDATA("Undergrad Student Credit Hour FTE - New",'FTE Pivot for regular counts'!$A$2,"State","FL","Category",14,"Category2","Technical")</f>
        <v>0</v>
      </c>
      <c r="J106" s="74">
        <f>+GETPIVOTDATA("Undergrad Student Credit Hour FTE - New",'FTE Pivot for regular counts'!$A$2,"State","FL","Category2","Technical")</f>
        <v>0</v>
      </c>
      <c r="K106" s="74"/>
      <c r="L106" s="74"/>
      <c r="U106" s="1" t="s">
        <v>479</v>
      </c>
      <c r="V106" s="15">
        <f>+GETPIVOTDATA("Undergrad Student Credit Hour  FTE - Old",'FTE Pivot for regular counts'!$A$2,"State","FL","Category","7","Category2","Two-Year")</f>
        <v>65323</v>
      </c>
      <c r="W106" s="15">
        <f>+GETPIVOTDATA("Undergrad Student Credit Hour  FTE - Old",'FTE Pivot for regular counts'!$A$2,"State","FL","Category","8","Category2","Two-Year")</f>
        <v>169126.56666666665</v>
      </c>
      <c r="X106" s="15">
        <f>+GETPIVOTDATA("Undergrad Student Credit Hour  FTE - Old",'FTE Pivot for regular counts'!$A$2,"State","FL","Category","9","Category2","Two-Year")</f>
        <v>21579.066666666666</v>
      </c>
      <c r="Y106" s="15">
        <f>+GETPIVOTDATA("Undergrad Student Credit Hour  FTE - Old",'FTE Pivot for regular counts'!$A$2,"State","FL","Category","10","Category2","Two-Year")</f>
        <v>1474.8</v>
      </c>
      <c r="Z106" s="23">
        <f>+GETPIVOTDATA("Undergrad Student Credit Hour  FTE - Old",'FTE Pivot for regular counts'!$A$2,"State","FL","Category2","Two-Year")</f>
        <v>257503.43333333329</v>
      </c>
      <c r="AA106" s="18">
        <f>+GETPIVOTDATA("Undergrad Student Credit Hour  FTE - Old",'FTE Pivot for regular counts'!$A$2,"State","FL","Category","12","Category2","Technical")</f>
        <v>0</v>
      </c>
      <c r="AB106" s="15">
        <f>+GETPIVOTDATA("Undergrad Student Credit Hour  FTE - Old",'FTE Pivot for regular counts'!$A$2,"State","FL","Category","13","Category2","Technical")</f>
        <v>0</v>
      </c>
      <c r="AC106" s="15">
        <f>+GETPIVOTDATA("Undergrad Student Credit Hour  FTE - Old",'FTE Pivot for regular counts'!$A$2,"State","FL","Category",14,"Category2","Technical")</f>
        <v>0</v>
      </c>
      <c r="AD106" s="25">
        <f>+GETPIVOTDATA("Undergrad Student Credit Hour  FTE - Old",'FTE Pivot for regular counts'!$A$2,"State","FL","Category2","Technical")</f>
        <v>0</v>
      </c>
    </row>
    <row r="107" spans="1:30" ht="15" customHeight="1">
      <c r="B107" s="15"/>
      <c r="C107" s="15"/>
      <c r="D107" s="15"/>
      <c r="E107" s="15"/>
      <c r="F107" s="23"/>
      <c r="G107" s="18"/>
      <c r="H107" s="127"/>
      <c r="I107" s="15"/>
      <c r="J107" s="74"/>
      <c r="K107" s="74"/>
      <c r="L107" s="74"/>
      <c r="V107" s="15"/>
      <c r="W107" s="15"/>
      <c r="X107" s="15"/>
      <c r="Y107" s="15"/>
      <c r="Z107" s="23"/>
      <c r="AA107" s="18"/>
      <c r="AB107" s="15"/>
      <c r="AC107" s="15"/>
      <c r="AD107" s="25"/>
    </row>
    <row r="108" spans="1:30" ht="15" customHeight="1">
      <c r="A108" s="1" t="s">
        <v>480</v>
      </c>
      <c r="B108" s="15">
        <f>+GETPIVOTDATA("Undergrad Student Credit Hour FTE - New",'FTE Pivot for regular counts'!$A$2,"State","GA","Category","7","Category2","Two-Year")</f>
        <v>3503.7333333333331</v>
      </c>
      <c r="C108" s="15">
        <f>+GETPIVOTDATA("Undergrad Student Credit Hour FTE - New",'FTE Pivot for regular counts'!$A$2,"State","GA","Category","8","Category2","Two-Year")</f>
        <v>16582.099999999999</v>
      </c>
      <c r="D108" s="15">
        <f>+GETPIVOTDATA("Undergrad Student Credit Hour FTE - New",'FTE Pivot for regular counts'!$A$2,"State","GA","Category","9","Category2","Two-Year")</f>
        <v>26468.216666666671</v>
      </c>
      <c r="E108" s="15">
        <f>+GETPIVOTDATA("Undergrad Student Credit Hour FTE - New",'FTE Pivot for regular counts'!$A$2,"State","GA","Category","10","Category2","Two-Year")</f>
        <v>5904.4333333333334</v>
      </c>
      <c r="F108" s="23">
        <f>+GETPIVOTDATA("Undergrad Student Credit Hour FTE - New",'FTE Pivot for regular counts'!$A$2,"State","GA","Category2","Two-Year")</f>
        <v>52458.483333333337</v>
      </c>
      <c r="G108" s="18">
        <f>+GETPIVOTDATA("Undergrad Student Credit Hour FTE - New",'FTE Pivot for regular counts'!$A$2,"State","GA","Category","12","Category2","Technical")</f>
        <v>68099.757777777777</v>
      </c>
      <c r="H108" s="127">
        <f>+GETPIVOTDATA("Undergrad Student Credit Hour FTE - New",'FTE Pivot for regular counts'!$A$2,"State","GA","Category","13","Category2","Technical")</f>
        <v>4322.1777777777779</v>
      </c>
      <c r="I108" s="15">
        <f>+GETPIVOTDATA("Undergrad Student Credit Hour FTE - New",'FTE Pivot for regular counts'!$A$2,"State","GA","Category",14,"Category2","Technical")</f>
        <v>0</v>
      </c>
      <c r="J108" s="74">
        <f>+GETPIVOTDATA("Undergrad Student Credit Hour FTE - New",'FTE Pivot for regular counts'!$A$2,"State","GA","Category2","Technical")</f>
        <v>72421.935555555552</v>
      </c>
      <c r="K108" s="74"/>
      <c r="L108" s="74"/>
      <c r="U108" s="1" t="s">
        <v>480</v>
      </c>
      <c r="V108" s="15">
        <f>+GETPIVOTDATA("Undergrad Student Credit Hour  FTE - Old",'FTE Pivot for regular counts'!$A$2,"State","GA","Category","7","Category2","Two-Year")</f>
        <v>3178.1666666666665</v>
      </c>
      <c r="W108" s="15">
        <f>+GETPIVOTDATA("Undergrad Student Credit Hour  FTE - Old",'FTE Pivot for regular counts'!$A$2,"State","GA","Category","8","Category2","Two-Year")</f>
        <v>16144.933333333332</v>
      </c>
      <c r="X108" s="15">
        <f>+GETPIVOTDATA("Undergrad Student Credit Hour  FTE - Old",'FTE Pivot for regular counts'!$A$2,"State","GA","Category","9","Category2","Two-Year")</f>
        <v>24952.483333333334</v>
      </c>
      <c r="Y108" s="15">
        <f>+GETPIVOTDATA("Undergrad Student Credit Hour  FTE - Old",'FTE Pivot for regular counts'!$A$2,"State","GA","Category","10","Category2","Two-Year")</f>
        <v>5097.8333333333339</v>
      </c>
      <c r="Z108" s="23">
        <f>+GETPIVOTDATA("Undergrad Student Credit Hour  FTE - Old",'FTE Pivot for regular counts'!$A$2,"State","GA","Category2","Two-Year")</f>
        <v>49373.416666666664</v>
      </c>
      <c r="AA108" s="18">
        <f>+GETPIVOTDATA("Undergrad Student Credit Hour  FTE - Old",'FTE Pivot for regular counts'!$A$2,"State","GA","Category","12","Category2","Technical")</f>
        <v>64767.3511111111</v>
      </c>
      <c r="AB108" s="15">
        <f>+GETPIVOTDATA("Undergrad Student Credit Hour  FTE - Old",'FTE Pivot for regular counts'!$A$2,"State","GA","Category","13","Category2","Technical")</f>
        <v>4287.2422222222231</v>
      </c>
      <c r="AC108" s="15">
        <f>+GETPIVOTDATA("Undergrad Student Credit Hour  FTE - Old",'FTE Pivot for regular counts'!$A$2,"State","GA","Category",14,"Category2","Technical")</f>
        <v>0</v>
      </c>
      <c r="AD108" s="25">
        <f>+GETPIVOTDATA("Undergrad Student Credit Hour  FTE - Old",'FTE Pivot for regular counts'!$A$2,"State","GA","Category2","Technical")</f>
        <v>69054.593333333323</v>
      </c>
    </row>
    <row r="109" spans="1:30" ht="15" customHeight="1">
      <c r="A109" s="1" t="s">
        <v>481</v>
      </c>
      <c r="B109" s="15">
        <f>+GETPIVOTDATA("Undergrad Student Credit Hour FTE - New",'FTE Pivot for regular counts'!$A$2,"State","KY","Category","7","Category2","Two-Year")</f>
        <v>0</v>
      </c>
      <c r="C109" s="15">
        <f>+GETPIVOTDATA("Undergrad Student Credit Hour FTE - New",'FTE Pivot for regular counts'!$A$2,"State","KY","Category","8","Category2","Two-Year")</f>
        <v>15828.433333333334</v>
      </c>
      <c r="D109" s="15">
        <f>+GETPIVOTDATA("Undergrad Student Credit Hour FTE - New",'FTE Pivot for regular counts'!$A$2,"State","KY","Category","9","Category2","Two-Year")</f>
        <v>24056.033333333333</v>
      </c>
      <c r="E109" s="15">
        <f>+GETPIVOTDATA("Undergrad Student Credit Hour FTE - New",'FTE Pivot for regular counts'!$A$2,"State","KY","Category","10","Category2","Two-Year")</f>
        <v>4960</v>
      </c>
      <c r="F109" s="23">
        <f>+GETPIVOTDATA("Undergrad Student Credit Hour FTE - New",'FTE Pivot for regular counts'!$A$2,"State","KY","Category2","Two-Year")</f>
        <v>44844.466666666667</v>
      </c>
      <c r="G109" s="18">
        <f>+GETPIVOTDATA("Undergrad Student Credit Hour FTE - New",'FTE Pivot for regular counts'!$A$2,"State","KY","Category","12","Category2","Technical")</f>
        <v>2928.8666666666668</v>
      </c>
      <c r="H109" s="127">
        <f>+GETPIVOTDATA("Undergrad Student Credit Hour FTE - New",'FTE Pivot for regular counts'!$A$2,"State","KY","Category","13","Category2","Technical")</f>
        <v>0</v>
      </c>
      <c r="I109" s="15">
        <f>+GETPIVOTDATA("Undergrad Student Credit Hour FTE - New",'FTE Pivot for regular counts'!$A$2,"State","KY","Category",14,"Category2","Technical")</f>
        <v>0</v>
      </c>
      <c r="J109" s="74">
        <f>+GETPIVOTDATA("Undergrad Student Credit Hour FTE - New",'FTE Pivot for regular counts'!$A$2,"State","KY","Category2","Technical")</f>
        <v>2928.8666666666668</v>
      </c>
      <c r="K109" s="74"/>
      <c r="L109" s="74"/>
      <c r="U109" s="1" t="s">
        <v>481</v>
      </c>
      <c r="V109" s="15">
        <f>+GETPIVOTDATA("Undergrad Student Credit Hour  FTE - Old",'FTE Pivot for regular counts'!$A$2,"State","KY","Category","7","Category2","Two-Year")</f>
        <v>0</v>
      </c>
      <c r="W109" s="15">
        <f>+GETPIVOTDATA("Undergrad Student Credit Hour  FTE - Old",'FTE Pivot for regular counts'!$A$2,"State","KY","Category","8","Category2","Two-Year")</f>
        <v>15215.3</v>
      </c>
      <c r="X109" s="15">
        <f>+GETPIVOTDATA("Undergrad Student Credit Hour  FTE - Old",'FTE Pivot for regular counts'!$A$2,"State","KY","Category","9","Category2","Two-Year")</f>
        <v>23377.133333333331</v>
      </c>
      <c r="Y109" s="15">
        <f>+GETPIVOTDATA("Undergrad Student Credit Hour  FTE - Old",'FTE Pivot for regular counts'!$A$2,"State","KY","Category","10","Category2","Two-Year")</f>
        <v>4830.2</v>
      </c>
      <c r="Z109" s="23">
        <f>+GETPIVOTDATA("Undergrad Student Credit Hour  FTE - Old",'FTE Pivot for regular counts'!$A$2,"State","KY","Category2","Two-Year")</f>
        <v>43422.633333333331</v>
      </c>
      <c r="AA109" s="18">
        <f>+GETPIVOTDATA("Undergrad Student Credit Hour  FTE - Old",'FTE Pivot for regular counts'!$A$2,"State","KY","Category","12","Category2","Technical")</f>
        <v>2800.333333333333</v>
      </c>
      <c r="AB109" s="15">
        <f>+GETPIVOTDATA("Undergrad Student Credit Hour  FTE - Old",'FTE Pivot for regular counts'!$A$2,"State","KY","Category","13","Category2","Technical")</f>
        <v>0</v>
      </c>
      <c r="AC109" s="15">
        <f>+GETPIVOTDATA("Undergrad Student Credit Hour  FTE - Old",'FTE Pivot for regular counts'!$A$2,"State","KY","Category",14,"Category2","Technical")</f>
        <v>0</v>
      </c>
      <c r="AD109" s="25">
        <f>+GETPIVOTDATA("Undergrad Student Credit Hour  FTE - Old",'FTE Pivot for regular counts'!$A$2,"State","KY","Category2","Technical")</f>
        <v>2800.333333333333</v>
      </c>
    </row>
    <row r="110" spans="1:30" ht="15" customHeight="1">
      <c r="A110" s="1" t="s">
        <v>482</v>
      </c>
      <c r="B110" s="15">
        <f>+GETPIVOTDATA("Undergrad Student Credit Hour FTE - New",'FTE Pivot for regular counts'!$A$2,"State","LA","Category","7","Category2","Two-Year")</f>
        <v>1937.5333333333333</v>
      </c>
      <c r="C110" s="15">
        <f>+GETPIVOTDATA("Undergrad Student Credit Hour FTE - New",'FTE Pivot for regular counts'!$A$2,"State","LA","Category","8","Category2","Two-Year")</f>
        <v>9691.4666666666672</v>
      </c>
      <c r="D110" s="15">
        <f>+GETPIVOTDATA("Undergrad Student Credit Hour FTE - New",'FTE Pivot for regular counts'!$A$2,"State","LA","Category","9","Category2","Two-Year")</f>
        <v>10613</v>
      </c>
      <c r="E110" s="15">
        <f>+GETPIVOTDATA("Undergrad Student Credit Hour FTE - New",'FTE Pivot for regular counts'!$A$2,"State","LA","Category","10","Category2","Two-Year")</f>
        <v>6680.4</v>
      </c>
      <c r="F110" s="23">
        <f>+GETPIVOTDATA("Undergrad Student Credit Hour FTE - New",'FTE Pivot for regular counts'!$A$2,"State","LA","Category2","Two-Year")</f>
        <v>28922.400000000001</v>
      </c>
      <c r="G110" s="18">
        <f>+GETPIVOTDATA("Undergrad Student Credit Hour FTE - New",'FTE Pivot for regular counts'!$A$2,"State","LA","Category","12","Category2","Technical")</f>
        <v>1458.4333333333334</v>
      </c>
      <c r="H110" s="127">
        <f>+GETPIVOTDATA("Undergrad Student Credit Hour FTE - New",'FTE Pivot for regular counts'!$A$2,"State","LA","Category","13","Category2","Technical")</f>
        <v>921.2166666666667</v>
      </c>
      <c r="I110" s="1">
        <f>+GETPIVOTDATA("Undergrad Student Credit Hour FTE - New",'FTE Pivot for regular counts'!$A$2,"State","LA","Category",14,"Category2","Technical")</f>
        <v>14085.35</v>
      </c>
      <c r="J110" s="74">
        <f>+GETPIVOTDATA("Undergrad Student Credit Hour FTE - New",'FTE Pivot for regular counts'!$A$2,"State","LA","Category2","Technical")</f>
        <v>16465</v>
      </c>
      <c r="K110" s="74"/>
      <c r="L110" s="74"/>
      <c r="U110" s="1" t="s">
        <v>482</v>
      </c>
      <c r="V110" s="15">
        <f>+GETPIVOTDATA("Undergrad Student Credit Hour  FTE - Old",'FTE Pivot for regular counts'!$A$2,"State","LA","Category","7","Category2","Two-Year")</f>
        <v>1925.9333333333334</v>
      </c>
      <c r="W110" s="15">
        <f>+GETPIVOTDATA("Undergrad Student Credit Hour  FTE - Old",'FTE Pivot for regular counts'!$A$2,"State","LA","Category","8","Category2","Two-Year")</f>
        <v>8904.7999999999993</v>
      </c>
      <c r="X110" s="15">
        <f>+GETPIVOTDATA("Undergrad Student Credit Hour  FTE - Old",'FTE Pivot for regular counts'!$A$2,"State","LA","Category","9","Category2","Two-Year")</f>
        <v>10226.633333333331</v>
      </c>
      <c r="Y110" s="15">
        <f>+GETPIVOTDATA("Undergrad Student Credit Hour  FTE - Old",'FTE Pivot for regular counts'!$A$2,"State","LA","Category","10","Category2","Two-Year")</f>
        <v>5890.9333333333325</v>
      </c>
      <c r="Z110" s="23">
        <f>+GETPIVOTDATA("Undergrad Student Credit Hour  FTE - Old",'FTE Pivot for regular counts'!$A$2,"State","LA","Category2","Two-Year")</f>
        <v>26948.299999999996</v>
      </c>
      <c r="AA110" s="18">
        <f>+GETPIVOTDATA("Undergrad Student Credit Hour  FTE - Old",'FTE Pivot for regular counts'!$A$2,"State","LA","Category","12","Category2","Technical")</f>
        <v>1407.6333333333334</v>
      </c>
      <c r="AB110" s="15">
        <f>+GETPIVOTDATA("Undergrad Student Credit Hour  FTE - Old",'FTE Pivot for regular counts'!$A$2,"State","LA","Category","13","Category2","Technical")</f>
        <v>789.15</v>
      </c>
      <c r="AC110" s="1">
        <f>+GETPIVOTDATA("Undergrad Student Credit Hour  FTE - Old",'FTE Pivot for regular counts'!$A$2,"State","LA","Category",14,"Category2","Technical")</f>
        <v>12994.2</v>
      </c>
      <c r="AD110" s="25">
        <f>+GETPIVOTDATA("Undergrad Student Credit Hour  FTE - Old",'FTE Pivot for regular counts'!$A$2,"State","LA","Category2","Technical")</f>
        <v>15190.983333333334</v>
      </c>
    </row>
    <row r="111" spans="1:30" ht="15" customHeight="1">
      <c r="A111" s="1" t="s">
        <v>483</v>
      </c>
      <c r="B111" s="15">
        <f>+GETPIVOTDATA("Undergrad Student Credit Hour FTE - New",'FTE Pivot for regular counts'!$A$2,"State","MD","Category","7","Category2","Two-Year")</f>
        <v>0</v>
      </c>
      <c r="C111" s="15">
        <f>+GETPIVOTDATA("Undergrad Student Credit Hour FTE - New",'FTE Pivot for regular counts'!$A$2,"State","MD","Category","8","Category2","Two-Year")</f>
        <v>47629.51666666667</v>
      </c>
      <c r="D111" s="15">
        <f>+GETPIVOTDATA("Undergrad Student Credit Hour FTE - New",'FTE Pivot for regular counts'!$A$2,"State","MD","Category","9","Category2","Two-Year")</f>
        <v>26577.733333333334</v>
      </c>
      <c r="E111" s="15">
        <f>+GETPIVOTDATA("Undergrad Student Credit Hour FTE - New",'FTE Pivot for regular counts'!$A$2,"State","MD","Category","10","Category2","Two-Year")</f>
        <v>8075.9833333333336</v>
      </c>
      <c r="F111" s="23">
        <f>+GETPIVOTDATA("Undergrad Student Credit Hour FTE - New",'FTE Pivot for regular counts'!$A$2,"State","MD","Category2","Two-Year")</f>
        <v>82283.233333333337</v>
      </c>
      <c r="G111" s="18">
        <f>+GETPIVOTDATA("Undergrad Student Credit Hour FTE - New",'FTE Pivot for regular counts'!$A$2,"State","MD","Category","12","Category2","Technical")</f>
        <v>0</v>
      </c>
      <c r="H111" s="127">
        <f>+GETPIVOTDATA("Undergrad Student Credit Hour FTE - New",'FTE Pivot for regular counts'!$A$2,"State","MD","Category","13","Category2","Technical")</f>
        <v>0</v>
      </c>
      <c r="I111" s="15">
        <f>+GETPIVOTDATA("Undergrad Student Credit Hour FTE - New",'FTE Pivot for regular counts'!$A$2,"State","MD","Category",14,"Category2","Technical")</f>
        <v>0</v>
      </c>
      <c r="J111" s="74">
        <f>+GETPIVOTDATA("Undergrad Student Credit Hour FTE - New",'FTE Pivot for regular counts'!$A$2,"State","MD","Category2","Technical")</f>
        <v>0</v>
      </c>
      <c r="K111" s="74"/>
      <c r="L111" s="74"/>
      <c r="U111" s="1" t="s">
        <v>483</v>
      </c>
      <c r="V111" s="15">
        <f>+GETPIVOTDATA("Undergrad Student Credit Hour  FTE - Old",'FTE Pivot for regular counts'!$A$2,"State","MD","Category","7","Category2","Two-Year")</f>
        <v>0</v>
      </c>
      <c r="W111" s="15">
        <f>+GETPIVOTDATA("Undergrad Student Credit Hour  FTE - Old",'FTE Pivot for regular counts'!$A$2,"State","MD","Category","8","Category2","Two-Year")</f>
        <v>40822.46666666666</v>
      </c>
      <c r="X111" s="15">
        <f>+GETPIVOTDATA("Undergrad Student Credit Hour  FTE - Old",'FTE Pivot for regular counts'!$A$2,"State","MD","Category","9","Category2","Two-Year")</f>
        <v>25040.366666666669</v>
      </c>
      <c r="Y111" s="15">
        <f>+GETPIVOTDATA("Undergrad Student Credit Hour  FTE - Old",'FTE Pivot for regular counts'!$A$2,"State","MD","Category","10","Category2","Two-Year")</f>
        <v>7240.1666666666661</v>
      </c>
      <c r="Z111" s="23">
        <f>+GETPIVOTDATA("Undergrad Student Credit Hour  FTE - Old",'FTE Pivot for regular counts'!$A$2,"State","MD","Category2","Two-Year")</f>
        <v>73103</v>
      </c>
      <c r="AA111" s="18">
        <f>+GETPIVOTDATA("Undergrad Student Credit Hour  FTE - Old",'FTE Pivot for regular counts'!$A$2,"State","MD","Category","12","Category2","Technical")</f>
        <v>0</v>
      </c>
      <c r="AB111" s="15">
        <f>+GETPIVOTDATA("Undergrad Student Credit Hour  FTE - Old",'FTE Pivot for regular counts'!$A$2,"State","MD","Category","13","Category2","Technical")</f>
        <v>0</v>
      </c>
      <c r="AC111" s="15">
        <f>+GETPIVOTDATA("Undergrad Student Credit Hour  FTE - Old",'FTE Pivot for regular counts'!$A$2,"State","MD","Category",14,"Category2","Technical")</f>
        <v>0</v>
      </c>
      <c r="AD111" s="25">
        <f>+GETPIVOTDATA("Undergrad Student Credit Hour  FTE - Old",'FTE Pivot for regular counts'!$A$2,"State","MD","Category2","Technical")</f>
        <v>0</v>
      </c>
    </row>
    <row r="112" spans="1:30" ht="15" customHeight="1">
      <c r="B112" s="15"/>
      <c r="C112" s="15"/>
      <c r="D112" s="15"/>
      <c r="E112" s="15"/>
      <c r="F112" s="23"/>
      <c r="G112" s="18"/>
      <c r="H112" s="127"/>
      <c r="I112" s="15"/>
      <c r="J112" s="74"/>
      <c r="K112" s="74"/>
      <c r="L112" s="74"/>
      <c r="V112" s="15"/>
      <c r="W112" s="15"/>
      <c r="X112" s="15"/>
      <c r="Y112" s="15"/>
      <c r="Z112" s="23"/>
      <c r="AA112" s="18"/>
      <c r="AB112" s="15"/>
      <c r="AC112" s="15"/>
      <c r="AD112" s="25"/>
    </row>
    <row r="113" spans="1:38" ht="15" customHeight="1">
      <c r="A113" s="1" t="s">
        <v>484</v>
      </c>
      <c r="B113" s="15">
        <f>+GETPIVOTDATA("Undergrad Student Credit Hour FTE - New",'FTE Pivot for regular counts'!$A$2,"State","MS","Category","7","Category2","Two-Year")</f>
        <v>0</v>
      </c>
      <c r="C113" s="15">
        <f>+GETPIVOTDATA("Undergrad Student Credit Hour FTE - New",'FTE Pivot for regular counts'!$A$2,"State","MS","Category","8","Category2","Two-Year")</f>
        <v>21342.799999999999</v>
      </c>
      <c r="D113" s="15">
        <f>+GETPIVOTDATA("Undergrad Student Credit Hour FTE - New",'FTE Pivot for regular counts'!$A$2,"State","MS","Category","9","Category2","Two-Year")</f>
        <v>34138.933333333334</v>
      </c>
      <c r="E113" s="15">
        <f>+GETPIVOTDATA("Undergrad Student Credit Hour FTE - New",'FTE Pivot for regular counts'!$A$2,"State","MS","Category","10","Category2","Two-Year")</f>
        <v>3109.9333333333334</v>
      </c>
      <c r="F113" s="23">
        <f>+GETPIVOTDATA("Undergrad Student Credit Hour FTE - New",'FTE Pivot for regular counts'!$A$2,"State","MS","Category2","Two-Year")</f>
        <v>58591.666666666672</v>
      </c>
      <c r="G113" s="18">
        <f>+GETPIVOTDATA("Undergrad Student Credit Hour FTE - New",'FTE Pivot for regular counts'!$A$2,"State","MS","Category","12","Category2","Technical")</f>
        <v>0</v>
      </c>
      <c r="H113" s="127">
        <f>+GETPIVOTDATA("Undergrad Student Credit Hour FTE - New",'FTE Pivot for regular counts'!$A$2,"State","MS","Category","13","Category2","Technical")</f>
        <v>0</v>
      </c>
      <c r="I113" s="15">
        <f>+GETPIVOTDATA("Undergrad Student Credit Hour FTE - New",'FTE Pivot for regular counts'!$A$2,"State","MS","Category",14,"Category2","Technical")</f>
        <v>0</v>
      </c>
      <c r="J113" s="74">
        <f>+GETPIVOTDATA("Undergrad Student Credit Hour FTE - New",'FTE Pivot for regular counts'!$A$2,"State","MS","Category2","Technical")</f>
        <v>0</v>
      </c>
      <c r="K113" s="74"/>
      <c r="L113" s="74"/>
      <c r="U113" s="1" t="s">
        <v>484</v>
      </c>
      <c r="V113" s="15">
        <f>+GETPIVOTDATA("Undergrad Student Credit Hour  FTE - Old",'FTE Pivot for regular counts'!$A$2,"State","MS","Category","7","Category2","Two-Year")</f>
        <v>0</v>
      </c>
      <c r="W113" s="15">
        <f>+GETPIVOTDATA("Undergrad Student Credit Hour  FTE - Old",'FTE Pivot for regular counts'!$A$2,"State","MS","Category","8","Category2","Two-Year")</f>
        <v>20479.5</v>
      </c>
      <c r="X113" s="15">
        <f>+GETPIVOTDATA("Undergrad Student Credit Hour  FTE - Old",'FTE Pivot for regular counts'!$A$2,"State","MS","Category","9","Category2","Two-Year")</f>
        <v>32813.26666666667</v>
      </c>
      <c r="Y113" s="15">
        <f>+GETPIVOTDATA("Undergrad Student Credit Hour  FTE - Old",'FTE Pivot for regular counts'!$A$2,"State","MS","Category","10","Category2","Two-Year")</f>
        <v>3290.2</v>
      </c>
      <c r="Z113" s="23">
        <f>+GETPIVOTDATA("Undergrad Student Credit Hour  FTE - Old",'FTE Pivot for regular counts'!$A$2,"State","MS","Category2","Two-Year")</f>
        <v>56582.966666666667</v>
      </c>
      <c r="AA113" s="18">
        <f>+GETPIVOTDATA("Undergrad Student Credit Hour  FTE - Old",'FTE Pivot for regular counts'!$A$2,"State","MS","Category","12","Category2","Technical")</f>
        <v>0</v>
      </c>
      <c r="AB113" s="15">
        <f>+GETPIVOTDATA("Undergrad Student Credit Hour  FTE - Old",'FTE Pivot for regular counts'!$A$2,"State","MS","Category","13","Category2","Technical")</f>
        <v>0</v>
      </c>
      <c r="AC113" s="15">
        <f>+GETPIVOTDATA("Undergrad Student Credit Hour  FTE - Old",'FTE Pivot for regular counts'!$A$2,"State","MS","Category",14,"Category2","Technical")</f>
        <v>0</v>
      </c>
      <c r="AD113" s="25">
        <f>+GETPIVOTDATA("Undergrad Student Credit Hour  FTE - Old",'FTE Pivot for regular counts'!$A$2,"State","MS","Category2","Technical")</f>
        <v>0</v>
      </c>
    </row>
    <row r="114" spans="1:38" ht="15" customHeight="1">
      <c r="A114" s="1" t="s">
        <v>485</v>
      </c>
      <c r="B114" s="15">
        <f>+GETPIVOTDATA("Undergrad Student Credit Hour FTE - New",'FTE Pivot for regular counts'!$A$2,"State","NC","Category","7","Category2","Two-Year")</f>
        <v>0</v>
      </c>
      <c r="C114" s="15">
        <f>+GETPIVOTDATA("Undergrad Student Credit Hour FTE - New",'FTE Pivot for regular counts'!$A$2,"State","NC","Category","8","Category2","Two-Year")</f>
        <v>105422</v>
      </c>
      <c r="D114" s="15">
        <f>+GETPIVOTDATA("Undergrad Student Credit Hour FTE - New",'FTE Pivot for regular counts'!$A$2,"State","NC","Category","9","Category2","Two-Year")</f>
        <v>107798</v>
      </c>
      <c r="E114" s="15">
        <f>+GETPIVOTDATA("Undergrad Student Credit Hour FTE - New",'FTE Pivot for regular counts'!$A$2,"State","NC","Category","10","Category2","Two-Year")</f>
        <v>18517</v>
      </c>
      <c r="F114" s="23">
        <f>+GETPIVOTDATA("Undergrad Student Credit Hour FTE - New",'FTE Pivot for regular counts'!$A$2,"State","NC","Category2","Two-Year")</f>
        <v>231737</v>
      </c>
      <c r="G114" s="18">
        <f>+GETPIVOTDATA("Undergrad Student Credit Hour FTE - New",'FTE Pivot for regular counts'!$A$2,"State","NC","Category","12","Category2","Technical")</f>
        <v>0</v>
      </c>
      <c r="H114" s="127">
        <f>+GETPIVOTDATA("Undergrad Student Credit Hour FTE - New",'FTE Pivot for regular counts'!$A$2,"State","NC","Category","13","Category2","Technical")</f>
        <v>0</v>
      </c>
      <c r="I114" s="15">
        <f>+GETPIVOTDATA("Undergrad Student Credit Hour FTE - New",'FTE Pivot for regular counts'!$A$2,"State","NC","Category",14,"Category2","Technical")</f>
        <v>0</v>
      </c>
      <c r="J114" s="74">
        <f>+GETPIVOTDATA("Undergrad Student Credit Hour FTE - New",'FTE Pivot for regular counts'!$A$2,"State","NC","Category2","Technical")</f>
        <v>0</v>
      </c>
      <c r="K114" s="74"/>
      <c r="L114" s="74"/>
      <c r="U114" s="1" t="s">
        <v>485</v>
      </c>
      <c r="V114" s="15">
        <f>+GETPIVOTDATA("Undergrad Student Credit Hour  FTE - Old",'FTE Pivot for regular counts'!$A$2,"State","NC","Category","7","Category2","Two-Year")</f>
        <v>0</v>
      </c>
      <c r="W114" s="15">
        <f>+GETPIVOTDATA("Undergrad Student Credit Hour  FTE - Old",'FTE Pivot for regular counts'!$A$2,"State","NC","Category","8","Category2","Two-Year")</f>
        <v>99516.37</v>
      </c>
      <c r="X114" s="15">
        <f>+GETPIVOTDATA("Undergrad Student Credit Hour  FTE - Old",'FTE Pivot for regular counts'!$A$2,"State","NC","Category","9","Category2","Two-Year")</f>
        <v>103911.92999999998</v>
      </c>
      <c r="Y114" s="15">
        <f>+GETPIVOTDATA("Undergrad Student Credit Hour  FTE - Old",'FTE Pivot for regular counts'!$A$2,"State","NC","Category","10","Category2","Two-Year")</f>
        <v>18109.589999999997</v>
      </c>
      <c r="Z114" s="23">
        <f>+GETPIVOTDATA("Undergrad Student Credit Hour  FTE - Old",'FTE Pivot for regular counts'!$A$2,"State","NC","Category2","Two-Year")</f>
        <v>221537.88999999998</v>
      </c>
      <c r="AA114" s="18">
        <f>+GETPIVOTDATA("Undergrad Student Credit Hour  FTE - Old",'FTE Pivot for regular counts'!$A$2,"State","NC","Category","12","Category2","Technical")</f>
        <v>0</v>
      </c>
      <c r="AB114" s="15">
        <f>+GETPIVOTDATA("Undergrad Student Credit Hour  FTE - Old",'FTE Pivot for regular counts'!$A$2,"State","NC","Category","13","Category2","Technical")</f>
        <v>0</v>
      </c>
      <c r="AC114" s="15">
        <f>+GETPIVOTDATA("Undergrad Student Credit Hour  FTE - Old",'FTE Pivot for regular counts'!$A$2,"State","NC","Category",14,"Category2","Technical")</f>
        <v>0</v>
      </c>
      <c r="AD114" s="25">
        <f>+GETPIVOTDATA("Undergrad Student Credit Hour  FTE - Old",'FTE Pivot for regular counts'!$A$2,"State","NC","Category2","Technical")</f>
        <v>0</v>
      </c>
    </row>
    <row r="115" spans="1:38" ht="15" customHeight="1">
      <c r="A115" s="1" t="s">
        <v>486</v>
      </c>
      <c r="B115" s="15">
        <f>+GETPIVOTDATA("Undergrad Student Credit Hour FTE - New",'FTE Pivot for regular counts'!$A$2,"State","OK","Category","7","Category2","Two-Year")</f>
        <v>2935.6</v>
      </c>
      <c r="C115" s="15">
        <f>+GETPIVOTDATA("Undergrad Student Credit Hour FTE - New",'FTE Pivot for regular counts'!$A$2,"State","OK","Category","8","Category2","Two-Year")</f>
        <v>19308.033333333333</v>
      </c>
      <c r="D115" s="15">
        <f>+GETPIVOTDATA("Undergrad Student Credit Hour FTE - New",'FTE Pivot for regular counts'!$A$2,"State","OK","Category","9","Category2","Two-Year")</f>
        <v>11911.066666666666</v>
      </c>
      <c r="E115" s="15">
        <f>+GETPIVOTDATA("Undergrad Student Credit Hour FTE - New",'FTE Pivot for regular counts'!$A$2,"State","OK","Category","10","Category2","Two-Year")</f>
        <v>12074.1</v>
      </c>
      <c r="F115" s="23">
        <f>+GETPIVOTDATA("Undergrad Student Credit Hour FTE - New",'FTE Pivot for regular counts'!$A$2,"State","OK","Category2","Two-Year")</f>
        <v>46228.799999999996</v>
      </c>
      <c r="G115" s="18">
        <f>+GETPIVOTDATA("Undergrad Student Credit Hour FTE - New",'FTE Pivot for regular counts'!$A$2,"State","OK","Category","12","Category2","Technical")</f>
        <v>0</v>
      </c>
      <c r="H115" s="127">
        <f>+GETPIVOTDATA("Undergrad Student Credit Hour FTE - New",'FTE Pivot for regular counts'!$A$2,"State","OK","Category","13","Category2","Technical")</f>
        <v>0</v>
      </c>
      <c r="I115" s="15">
        <f>+GETPIVOTDATA("Undergrad Student Credit Hour FTE - New",'FTE Pivot for regular counts'!$A$2,"State","OK","Category",14,"Category2","Technical")</f>
        <v>0</v>
      </c>
      <c r="J115" s="74">
        <f>+GETPIVOTDATA("Undergrad Student Credit Hour FTE - New",'FTE Pivot for regular counts'!$A$2,"State","OK","Category2","Technical")</f>
        <v>0</v>
      </c>
      <c r="K115" s="74"/>
      <c r="L115" s="74"/>
      <c r="U115" s="1" t="s">
        <v>486</v>
      </c>
      <c r="V115" s="15">
        <f>+GETPIVOTDATA("Undergrad Student Credit Hour  FTE - Old",'FTE Pivot for regular counts'!$A$2,"State","OK","Category","7","Category2","Two-Year")</f>
        <v>2669.6333333333332</v>
      </c>
      <c r="W115" s="15">
        <f>+GETPIVOTDATA("Undergrad Student Credit Hour  FTE - Old",'FTE Pivot for regular counts'!$A$2,"State","OK","Category","8","Category2","Two-Year")</f>
        <v>18654.533333333333</v>
      </c>
      <c r="X115" s="15">
        <f>+GETPIVOTDATA("Undergrad Student Credit Hour  FTE - Old",'FTE Pivot for regular counts'!$A$2,"State","OK","Category","9","Category2","Two-Year")</f>
        <v>12064.633333333333</v>
      </c>
      <c r="Y115" s="15">
        <f>+GETPIVOTDATA("Undergrad Student Credit Hour  FTE - Old",'FTE Pivot for regular counts'!$A$2,"State","OK","Category","10","Category2","Two-Year")</f>
        <v>11826.766666666666</v>
      </c>
      <c r="Z115" s="23">
        <f>+GETPIVOTDATA("Undergrad Student Credit Hour  FTE - Old",'FTE Pivot for regular counts'!$A$2,"State","OK","Category2","Two-Year")</f>
        <v>45215.566666666666</v>
      </c>
      <c r="AA115" s="18">
        <f>+GETPIVOTDATA("Undergrad Student Credit Hour  FTE - Old",'FTE Pivot for regular counts'!$A$2,"State","OK","Category","12","Category2","Technical")</f>
        <v>0</v>
      </c>
      <c r="AB115" s="15">
        <f>+GETPIVOTDATA("Undergrad Student Credit Hour  FTE - Old",'FTE Pivot for regular counts'!$A$2,"State","OK","Category","13","Category2","Technical")</f>
        <v>0</v>
      </c>
      <c r="AC115" s="15">
        <f>+GETPIVOTDATA("Undergrad Student Credit Hour  FTE - Old",'FTE Pivot for regular counts'!$A$2,"State","OK","Category",14,"Category2","Technical")</f>
        <v>0</v>
      </c>
      <c r="AD115" s="25">
        <f>+GETPIVOTDATA("Undergrad Student Credit Hour  FTE - Old",'FTE Pivot for regular counts'!$A$2,"State","OK","Category2","Technical")</f>
        <v>0</v>
      </c>
    </row>
    <row r="116" spans="1:38" ht="15" customHeight="1">
      <c r="A116" s="1" t="s">
        <v>487</v>
      </c>
      <c r="B116" s="15">
        <f>+GETPIVOTDATA("Undergrad Student Credit Hour FTE - New",'FTE Pivot for regular counts'!$A$2,"State","SC","Category","7","Category2","Two-Year")</f>
        <v>1188.3666666666666</v>
      </c>
      <c r="C116" s="15">
        <f>+GETPIVOTDATA("Undergrad Student Credit Hour FTE - New",'FTE Pivot for regular counts'!$A$2,"State","SC","Category","8","Category2","Two-Year")</f>
        <v>29262.682666666668</v>
      </c>
      <c r="D116" s="15">
        <f>+GETPIVOTDATA("Undergrad Student Credit Hour FTE - New",'FTE Pivot for regular counts'!$A$2,"State","SC","Category","9","Category2","Two-Year")</f>
        <v>31398.061666666668</v>
      </c>
      <c r="E116" s="15">
        <f>+GETPIVOTDATA("Undergrad Student Credit Hour FTE - New",'FTE Pivot for regular counts'!$A$2,"State","SC","Category","10","Category2","Two-Year")</f>
        <v>6907.3996666666662</v>
      </c>
      <c r="F116" s="23">
        <f>+GETPIVOTDATA("Undergrad Student Credit Hour FTE - New",'FTE Pivot for regular counts'!$A$2,"State","SC","Category2","Two-Year")</f>
        <v>68756.510666666669</v>
      </c>
      <c r="G116" s="18">
        <f>+GETPIVOTDATA("Undergrad Student Credit Hour FTE - New",'FTE Pivot for regular counts'!$A$2,"State","SC","Category","12","Category2","Technical")</f>
        <v>0</v>
      </c>
      <c r="H116" s="127">
        <f>+GETPIVOTDATA("Undergrad Student Credit Hour FTE - New",'FTE Pivot for regular counts'!$A$2,"State","SC","Category","13","Category2","Technical")</f>
        <v>0</v>
      </c>
      <c r="I116" s="15">
        <f>+GETPIVOTDATA("Undergrad Student Credit Hour FTE - New",'FTE Pivot for regular counts'!$A$2,"State","SC","Category",14,"Category2","Technical")</f>
        <v>0</v>
      </c>
      <c r="J116" s="74">
        <f>+GETPIVOTDATA("Undergrad Student Credit Hour FTE - New",'FTE Pivot for regular counts'!$A$2,"State","SC","Category2","Technical")</f>
        <v>0</v>
      </c>
      <c r="K116" s="74"/>
      <c r="L116" s="74"/>
      <c r="U116" s="1" t="s">
        <v>487</v>
      </c>
      <c r="V116" s="15">
        <f>+GETPIVOTDATA("Undergrad Student Credit Hour  FTE - Old",'FTE Pivot for regular counts'!$A$2,"State","SC","Category","7","Category2","Two-Year")</f>
        <v>1094.6666666666667</v>
      </c>
      <c r="W116" s="15">
        <f>+GETPIVOTDATA("Undergrad Student Credit Hour  FTE - Old",'FTE Pivot for regular counts'!$A$2,"State","SC","Category","8","Category2","Two-Year")</f>
        <v>27950.609999999993</v>
      </c>
      <c r="X116" s="15">
        <f>+GETPIVOTDATA("Undergrad Student Credit Hour  FTE - Old",'FTE Pivot for regular counts'!$A$2,"State","SC","Category","9","Category2","Two-Year")</f>
        <v>29649.603999999999</v>
      </c>
      <c r="Y116" s="15">
        <f>+GETPIVOTDATA("Undergrad Student Credit Hour  FTE - Old",'FTE Pivot for regular counts'!$A$2,"State","SC","Category","10","Category2","Two-Year")</f>
        <v>6643.530999999999</v>
      </c>
      <c r="Z116" s="23">
        <f>+GETPIVOTDATA("Undergrad Student Credit Hour  FTE - Old",'FTE Pivot for regular counts'!$A$2,"State","SC","Category2","Two-Year")</f>
        <v>65338.411666666667</v>
      </c>
      <c r="AA116" s="18">
        <f>+GETPIVOTDATA("Undergrad Student Credit Hour  FTE - Old",'FTE Pivot for regular counts'!$A$2,"State","SC","Category","12","Category2","Technical")</f>
        <v>0</v>
      </c>
      <c r="AB116" s="15">
        <f>+GETPIVOTDATA("Undergrad Student Credit Hour  FTE - Old",'FTE Pivot for regular counts'!$A$2,"State","SC","Category","13","Category2","Technical")</f>
        <v>0</v>
      </c>
      <c r="AC116" s="15">
        <f>+GETPIVOTDATA("Undergrad Student Credit Hour  FTE - Old",'FTE Pivot for regular counts'!$A$2,"State","SC","Category",14,"Category2","Technical")</f>
        <v>0</v>
      </c>
      <c r="AD116" s="25">
        <f>+GETPIVOTDATA("Undergrad Student Credit Hour  FTE - Old",'FTE Pivot for regular counts'!$A$2,"State","SC","Category2","Technical")</f>
        <v>0</v>
      </c>
    </row>
    <row r="117" spans="1:38" ht="15" customHeight="1">
      <c r="B117" s="15"/>
      <c r="C117" s="15"/>
      <c r="D117" s="15"/>
      <c r="E117" s="15"/>
      <c r="F117" s="23"/>
      <c r="G117" s="18"/>
      <c r="H117" s="127"/>
      <c r="I117" s="15"/>
      <c r="J117" s="74"/>
      <c r="K117" s="74"/>
      <c r="L117" s="74"/>
      <c r="V117" s="15"/>
      <c r="W117" s="15"/>
      <c r="X117" s="15"/>
      <c r="Y117" s="15"/>
      <c r="Z117" s="23"/>
      <c r="AA117" s="18"/>
      <c r="AB117" s="15"/>
      <c r="AC117" s="15"/>
      <c r="AD117" s="25"/>
    </row>
    <row r="118" spans="1:38" ht="15" customHeight="1">
      <c r="A118" s="1" t="s">
        <v>488</v>
      </c>
      <c r="B118" s="15">
        <f>+GETPIVOTDATA("Undergrad Student Credit Hour FTE - New",'FTE Pivot for regular counts'!$A$2,"State","TN","Category","7","Category2","Two-Year")</f>
        <v>0</v>
      </c>
      <c r="C118" s="15">
        <f>+GETPIVOTDATA("Undergrad Student Credit Hour FTE - New",'FTE Pivot for regular counts'!$A$2,"State","TN","Category","8","Category2","Two-Year")</f>
        <v>19253.966666666667</v>
      </c>
      <c r="D118" s="15">
        <f>+GETPIVOTDATA("Undergrad Student Credit Hour FTE - New",'FTE Pivot for regular counts'!$A$2,"State","TN","Category","9","Category2","Two-Year")</f>
        <v>32559.833333333332</v>
      </c>
      <c r="E118" s="15">
        <f>+GETPIVOTDATA("Undergrad Student Credit Hour FTE - New",'FTE Pivot for regular counts'!$A$2,"State","TN","Category","10","Category2","Two-Year")</f>
        <v>1718.0666666666666</v>
      </c>
      <c r="F118" s="23">
        <f>+GETPIVOTDATA("Undergrad Student Credit Hour FTE - New",'FTE Pivot for regular counts'!$A$2,"State","TN","Category2","Two-Year")</f>
        <v>53531.866666666669</v>
      </c>
      <c r="G118" s="18">
        <f>+GETPIVOTDATA("Undergrad Student Credit Hour FTE - New",'FTE Pivot for regular counts'!$A$2,"State","TN","Category","12","Category2","Technical")</f>
        <v>0</v>
      </c>
      <c r="H118" s="127">
        <f>+GETPIVOTDATA("Undergrad Student Credit Hour FTE - New",'FTE Pivot for regular counts'!$A$2,"State","TN","Category","13","Category2","Technical")</f>
        <v>0</v>
      </c>
      <c r="I118" s="15">
        <f>+GETPIVOTDATA("Undergrad Student Credit Hour FTE - New",'FTE Pivot for regular counts'!$A$2,"State","TN","Category",14,"Category2","Technical")</f>
        <v>0</v>
      </c>
      <c r="J118" s="74">
        <f>+GETPIVOTDATA("Undergrad Student Credit Hour FTE - New",'FTE Pivot for regular counts'!$A$2,"State","TN","Category2","Technical")</f>
        <v>0</v>
      </c>
      <c r="K118" s="74"/>
      <c r="L118" s="74"/>
      <c r="U118" s="1" t="s">
        <v>488</v>
      </c>
      <c r="V118" s="15">
        <f>+GETPIVOTDATA("Undergrad Student Credit Hour  FTE - Old",'FTE Pivot for regular counts'!$A$2,"State","TN","Category","7","Category2","Two-Year")</f>
        <v>0</v>
      </c>
      <c r="W118" s="15">
        <f>+GETPIVOTDATA("Undergrad Student Credit Hour  FTE - Old",'FTE Pivot for regular counts'!$A$2,"State","TN","Category","8","Category2","Two-Year")</f>
        <v>18869.933333333334</v>
      </c>
      <c r="X118" s="15">
        <f>+GETPIVOTDATA("Undergrad Student Credit Hour  FTE - Old",'FTE Pivot for regular counts'!$A$2,"State","TN","Category","9","Category2","Two-Year")</f>
        <v>31474.333333333332</v>
      </c>
      <c r="Y118" s="15">
        <f>+GETPIVOTDATA("Undergrad Student Credit Hour  FTE - Old",'FTE Pivot for regular counts'!$A$2,"State","TN","Category","10","Category2","Two-Year")</f>
        <v>1712.5333333333333</v>
      </c>
      <c r="Z118" s="23">
        <f>+GETPIVOTDATA("Undergrad Student Credit Hour  FTE - Old",'FTE Pivot for regular counts'!$A$2,"State","TN","Category2","Two-Year")</f>
        <v>52056.799999999996</v>
      </c>
      <c r="AA118" s="18">
        <f>+GETPIVOTDATA("Undergrad Student Credit Hour  FTE - Old",'FTE Pivot for regular counts'!$A$2,"State","TN","Category","12","Category2","Technical")</f>
        <v>0</v>
      </c>
      <c r="AB118" s="15">
        <f>+GETPIVOTDATA("Undergrad Student Credit Hour  FTE - Old",'FTE Pivot for regular counts'!$A$2,"State","TN","Category","13","Category2","Technical")</f>
        <v>0</v>
      </c>
      <c r="AC118" s="15">
        <f>+GETPIVOTDATA("Undergrad Student Credit Hour  FTE - Old",'FTE Pivot for regular counts'!$A$2,"State","TN","Category",14,"Category2","Technical")</f>
        <v>0</v>
      </c>
      <c r="AD118" s="25">
        <f>+GETPIVOTDATA("Undergrad Student Credit Hour  FTE - Old",'FTE Pivot for regular counts'!$A$2,"State","TN","Category2","Technical")</f>
        <v>0</v>
      </c>
    </row>
    <row r="119" spans="1:38" ht="15" customHeight="1">
      <c r="A119" s="1" t="s">
        <v>489</v>
      </c>
      <c r="B119" s="15">
        <f>+GETPIVOTDATA("Undergrad Student Credit Hour FTE - New",'FTE Pivot for regular counts'!$A$2,"State","TX","Category","7","Category2","Two-Year")</f>
        <v>0</v>
      </c>
      <c r="C119" s="15">
        <f>+GETPIVOTDATA("Undergrad Student Credit Hour FTE - New",'FTE Pivot for regular counts'!$A$2,"State","TX","Category","8","Category2","Two-Year")</f>
        <v>292900.83333333343</v>
      </c>
      <c r="D119" s="15">
        <f>+GETPIVOTDATA("Undergrad Student Credit Hour FTE - New",'FTE Pivot for regular counts'!$A$2,"State","TX","Category","9","Category2","Two-Year")</f>
        <v>92418.766666666663</v>
      </c>
      <c r="E119" s="15">
        <f>+GETPIVOTDATA("Undergrad Student Credit Hour FTE - New",'FTE Pivot for regular counts'!$A$2,"State","TX","Category","10","Category2","Two-Year")</f>
        <v>13505.766666666665</v>
      </c>
      <c r="F119" s="23">
        <f>+GETPIVOTDATA("Undergrad Student Credit Hour FTE - New",'FTE Pivot for regular counts'!$A$2,"State","TX","Category2","Two-Year")</f>
        <v>398825.36666666676</v>
      </c>
      <c r="G119" s="18">
        <f>+GETPIVOTDATA("Undergrad Student Credit Hour FTE - New",'FTE Pivot for regular counts'!$A$2,"State","TX","Category","12","Category2","Technical")</f>
        <v>0</v>
      </c>
      <c r="H119" s="127">
        <f>+GETPIVOTDATA("Undergrad Student Credit Hour FTE - New",'FTE Pivot for regular counts'!$A$2,"State","TX","Category","13","Category2","Technical")</f>
        <v>0</v>
      </c>
      <c r="I119" s="15">
        <f>+GETPIVOTDATA("Undergrad Student Credit Hour FTE - New",'FTE Pivot for regular counts'!$A$2,"State","TX","Category",14,"Category2","Technical")</f>
        <v>0</v>
      </c>
      <c r="J119" s="74">
        <f>+GETPIVOTDATA("Undergrad Student Credit Hour FTE - New",'FTE Pivot for regular counts'!$A$2,"State","TX","Category2","Technical")</f>
        <v>0</v>
      </c>
      <c r="K119" s="74"/>
      <c r="L119" s="74"/>
      <c r="U119" s="1" t="s">
        <v>489</v>
      </c>
      <c r="V119" s="15">
        <f>+GETPIVOTDATA("Undergrad Student Credit Hour  FTE - Old",'FTE Pivot for regular counts'!$A$2,"State","TX","Category","7","Category2","Two-Year")</f>
        <v>0</v>
      </c>
      <c r="W119" s="15">
        <f>+GETPIVOTDATA("Undergrad Student Credit Hour  FTE - Old",'FTE Pivot for regular counts'!$A$2,"State","TX","Category","8","Category2","Two-Year")</f>
        <v>281622.33333333337</v>
      </c>
      <c r="X119" s="15">
        <f>+GETPIVOTDATA("Undergrad Student Credit Hour  FTE - Old",'FTE Pivot for regular counts'!$A$2,"State","TX","Category","9","Category2","Two-Year")</f>
        <v>89060.333333333343</v>
      </c>
      <c r="Y119" s="15">
        <f>+GETPIVOTDATA("Undergrad Student Credit Hour  FTE - Old",'FTE Pivot for regular counts'!$A$2,"State","TX","Category","10","Category2","Two-Year")</f>
        <v>12891.900000000001</v>
      </c>
      <c r="Z119" s="23">
        <f>+GETPIVOTDATA("Undergrad Student Credit Hour  FTE - Old",'FTE Pivot for regular counts'!$A$2,"State","TX","Category2","Two-Year")</f>
        <v>383574.56666666677</v>
      </c>
      <c r="AA119" s="18">
        <f>+GETPIVOTDATA("Undergrad Student Credit Hour  FTE - Old",'FTE Pivot for regular counts'!$A$2,"State","TX","Category","12","Category2","Technical")</f>
        <v>0</v>
      </c>
      <c r="AB119" s="15">
        <f>+GETPIVOTDATA("Undergrad Student Credit Hour  FTE - Old",'FTE Pivot for regular counts'!$A$2,"State","TX","Category","13","Category2","Technical")</f>
        <v>0</v>
      </c>
      <c r="AC119" s="15">
        <f>+GETPIVOTDATA("Undergrad Student Credit Hour  FTE - Old",'FTE Pivot for regular counts'!$A$2,"State","TX","Category",14,"Category2","Technical")</f>
        <v>0</v>
      </c>
      <c r="AD119" s="25">
        <f>+GETPIVOTDATA("Undergrad Student Credit Hour  FTE - Old",'FTE Pivot for regular counts'!$A$2,"State","TX","Category2","Technical")</f>
        <v>0</v>
      </c>
    </row>
    <row r="120" spans="1:38" ht="15" customHeight="1">
      <c r="A120" s="1" t="s">
        <v>490</v>
      </c>
      <c r="B120" s="15">
        <f>+GETPIVOTDATA("Undergrad Student Credit Hour FTE - New",'FTE Pivot for regular counts'!$A$2,"State","VA","Category","7","Category2","Two-Year")</f>
        <v>0</v>
      </c>
      <c r="C120" s="15">
        <f>+GETPIVOTDATA("Undergrad Student Credit Hour FTE - New",'FTE Pivot for regular counts'!$A$2,"State","VA","Category","8","Category2","Two-Year")</f>
        <v>58434.233333333337</v>
      </c>
      <c r="D120" s="15">
        <f>+GETPIVOTDATA("Undergrad Student Credit Hour FTE - New",'FTE Pivot for regular counts'!$A$2,"State","VA","Category","9","Category2","Two-Year")</f>
        <v>34618.466666666667</v>
      </c>
      <c r="E120" s="15">
        <f>+GETPIVOTDATA("Undergrad Student Credit Hour FTE - New",'FTE Pivot for regular counts'!$A$2,"State","VA","Category","10","Category2","Two-Year")</f>
        <v>12267.699999999999</v>
      </c>
      <c r="F120" s="23">
        <f>+GETPIVOTDATA("Undergrad Student Credit Hour FTE - New",'FTE Pivot for regular counts'!$A$2,"State","VA","Category2","Two-Year")</f>
        <v>105320.40000000001</v>
      </c>
      <c r="G120" s="18">
        <f>+GETPIVOTDATA("Undergrad Student Credit Hour FTE - New",'FTE Pivot for regular counts'!$A$2,"State","VA","Category","12","Category2","Technical")</f>
        <v>0</v>
      </c>
      <c r="H120" s="127">
        <f>+GETPIVOTDATA("Undergrad Student Credit Hour FTE - New",'FTE Pivot for regular counts'!$A$2,"State","VA","Category","13","Category2","Technical")</f>
        <v>0</v>
      </c>
      <c r="I120" s="15">
        <f>+GETPIVOTDATA("Undergrad Student Credit Hour FTE - New",'FTE Pivot for regular counts'!$A$2,"State","VA","Category",14,"Category2","Technical")</f>
        <v>0</v>
      </c>
      <c r="J120" s="74">
        <f>+GETPIVOTDATA("Undergrad Student Credit Hour FTE - New",'FTE Pivot for regular counts'!$A$2,"State","VA","Category2","Technical")</f>
        <v>0</v>
      </c>
      <c r="K120" s="74"/>
      <c r="L120" s="74"/>
      <c r="U120" s="1" t="s">
        <v>490</v>
      </c>
      <c r="V120" s="15">
        <f>+GETPIVOTDATA("Undergrad Student Credit Hour  FTE - Old",'FTE Pivot for regular counts'!$A$2,"State","VA","Category","7","Category2","Two-Year")</f>
        <v>0</v>
      </c>
      <c r="W120" s="15">
        <f>+GETPIVOTDATA("Undergrad Student Credit Hour  FTE - Old",'FTE Pivot for regular counts'!$A$2,"State","VA","Category","8","Category2","Two-Year")</f>
        <v>55625.73333333333</v>
      </c>
      <c r="X120" s="15">
        <f>+GETPIVOTDATA("Undergrad Student Credit Hour  FTE - Old",'FTE Pivot for regular counts'!$A$2,"State","VA","Category","9","Category2","Two-Year")</f>
        <v>33082.04</v>
      </c>
      <c r="Y120" s="15">
        <f>+GETPIVOTDATA("Undergrad Student Credit Hour  FTE - Old",'FTE Pivot for regular counts'!$A$2,"State","VA","Category","10","Category2","Two-Year")</f>
        <v>11585.8</v>
      </c>
      <c r="Z120" s="23">
        <f>+GETPIVOTDATA("Undergrad Student Credit Hour  FTE - Old",'FTE Pivot for regular counts'!$A$2,"State","VA","Category2","Two-Year")</f>
        <v>100293.57333333333</v>
      </c>
      <c r="AA120" s="18">
        <f>+GETPIVOTDATA("Undergrad Student Credit Hour  FTE - Old",'FTE Pivot for regular counts'!$A$2,"State","VA","Category","12","Category2","Technical")</f>
        <v>0</v>
      </c>
      <c r="AB120" s="15">
        <f>+GETPIVOTDATA("Undergrad Student Credit Hour  FTE - Old",'FTE Pivot for regular counts'!$A$2,"State","VA","Category","13","Category2","Technical")</f>
        <v>0</v>
      </c>
      <c r="AC120" s="15">
        <f>+GETPIVOTDATA("Undergrad Student Credit Hour  FTE - Old",'FTE Pivot for regular counts'!$A$2,"State","VA","Category",14,"Category2","Technical")</f>
        <v>0</v>
      </c>
      <c r="AD120" s="25">
        <f>+GETPIVOTDATA("Undergrad Student Credit Hour  FTE - Old",'FTE Pivot for regular counts'!$A$2,"State","VA","Category2","Technical")</f>
        <v>0</v>
      </c>
    </row>
    <row r="121" spans="1:38" ht="15" customHeight="1">
      <c r="A121" s="3" t="s">
        <v>491</v>
      </c>
      <c r="B121" s="6">
        <f>+GETPIVOTDATA("Undergrad Student Credit Hour FTE - New",'FTE Pivot for regular counts'!$A$2,"State","WV","Category","7","Category2","Two-Year")</f>
        <v>2805.6333333333332</v>
      </c>
      <c r="C121" s="6">
        <f>+GETPIVOTDATA("Undergrad Student Credit Hour FTE - New",'FTE Pivot for regular counts'!$A$2,"State","WV","Category","8","Category2","Two-Year")</f>
        <v>0</v>
      </c>
      <c r="D121" s="6">
        <f>+GETPIVOTDATA("Undergrad Student Credit Hour FTE - New",'FTE Pivot for regular counts'!$A$2,"State","WV","Category","9","Category2","Two-Year")</f>
        <v>1874.5333333333333</v>
      </c>
      <c r="E121" s="6">
        <f>+GETPIVOTDATA("Undergrad Student Credit Hour FTE - New",'FTE Pivot for regular counts'!$A$2,"State","WV","Category","10","Category2","Two-Year")</f>
        <v>11191.916666666668</v>
      </c>
      <c r="F121" s="24">
        <f>+GETPIVOTDATA("Undergrad Student Credit Hour FTE - New",'FTE Pivot for regular counts'!$A$2,"State","WV","Category2","Two-Year")</f>
        <v>15872.083333333334</v>
      </c>
      <c r="G121" s="19">
        <f>+GETPIVOTDATA("Undergrad Student Credit Hour FTE - New",'FTE Pivot for regular counts'!$A$2,"State","WV","Category","12","Category2","Technical")</f>
        <v>0</v>
      </c>
      <c r="H121" s="140">
        <f>+GETPIVOTDATA("Undergrad Student Credit Hour FTE - New",'FTE Pivot for regular counts'!$A$2,"State","WV","Category","13","Category2","Technical")</f>
        <v>0</v>
      </c>
      <c r="I121" s="6">
        <f>+GETPIVOTDATA("Undergrad Student Credit Hour FTE - New",'FTE Pivot for regular counts'!$A$2,"State","WV","Category",14,"Category2","Technical")</f>
        <v>0</v>
      </c>
      <c r="J121" s="87">
        <f>+GETPIVOTDATA("Undergrad Student Credit Hour FTE - New",'FTE Pivot for regular counts'!$A$2,"State","WV","Category2","Technical")</f>
        <v>0</v>
      </c>
      <c r="K121" s="74"/>
      <c r="L121" s="74"/>
      <c r="U121" s="3" t="s">
        <v>491</v>
      </c>
      <c r="V121" s="6">
        <f>+GETPIVOTDATA("Undergrad Student Credit Hour  FTE - Old",'FTE Pivot for regular counts'!$A$2,"State","WV","Category","7","Category2","Two-Year")</f>
        <v>2812.3</v>
      </c>
      <c r="W121" s="6">
        <f>+GETPIVOTDATA("Undergrad Student Credit Hour  FTE - Old",'FTE Pivot for regular counts'!$A$2,"State","WV","Category","8","Category2","Two-Year")</f>
        <v>0</v>
      </c>
      <c r="X121" s="6">
        <f>+GETPIVOTDATA("Undergrad Student Credit Hour  FTE - Old",'FTE Pivot for regular counts'!$A$2,"State","WV","Category","9","Category2","Two-Year")</f>
        <v>1857.7666666666667</v>
      </c>
      <c r="Y121" s="6">
        <f>+GETPIVOTDATA("Undergrad Student Credit Hour  FTE - Old",'FTE Pivot for regular counts'!$A$2,"State","WV","Category","10","Category2","Two-Year")</f>
        <v>10817.266666666666</v>
      </c>
      <c r="Z121" s="24">
        <f>+GETPIVOTDATA("Undergrad Student Credit Hour  FTE - Old",'FTE Pivot for regular counts'!$A$2,"State","WV","Category2","Two-Year")</f>
        <v>15487.333333333332</v>
      </c>
      <c r="AA121" s="19">
        <f>+GETPIVOTDATA("Undergrad Student Credit Hour  FTE - Old",'FTE Pivot for regular counts'!$A$2,"State","WV","Category","12","Category2","Technical")</f>
        <v>0</v>
      </c>
      <c r="AB121" s="6">
        <f>+GETPIVOTDATA("Undergrad Student Credit Hour  FTE - Old",'FTE Pivot for regular counts'!$A$2,"State","WV","Category","13","Category2","Technical")</f>
        <v>0</v>
      </c>
      <c r="AC121" s="6">
        <f>+GETPIVOTDATA("Undergrad Student Credit Hour  FTE - Old",'FTE Pivot for regular counts'!$A$2,"State","WV","Category",14,"Category2","Technical")</f>
        <v>0</v>
      </c>
      <c r="AD121" s="3">
        <f>+GETPIVOTDATA("Undergrad Student Credit Hour  FTE - Old",'FTE Pivot for regular counts'!$A$2,"State","WV","Category2","Technical")</f>
        <v>0</v>
      </c>
    </row>
    <row r="122" spans="1:38" s="25" customFormat="1" ht="9.9499999999999993" customHeight="1">
      <c r="A122" s="77"/>
      <c r="B122" s="16"/>
      <c r="C122" s="16"/>
      <c r="D122" s="16"/>
      <c r="E122" s="16"/>
      <c r="F122" s="16"/>
      <c r="G122" s="16"/>
      <c r="H122" s="133"/>
      <c r="I122" s="16"/>
      <c r="J122" s="133"/>
      <c r="K122" s="127"/>
      <c r="L122" s="127"/>
      <c r="M122" s="127"/>
    </row>
    <row r="123" spans="1:38" ht="42.75" customHeight="1">
      <c r="A123" s="674" t="s">
        <v>104</v>
      </c>
      <c r="B123" s="674"/>
      <c r="C123" s="674"/>
      <c r="D123" s="674"/>
      <c r="E123" s="674"/>
      <c r="F123" s="674"/>
      <c r="G123" s="674"/>
      <c r="H123" s="674"/>
      <c r="I123" s="674"/>
      <c r="J123" s="674"/>
      <c r="K123" s="416"/>
      <c r="L123" s="416"/>
      <c r="M123" s="470"/>
    </row>
    <row r="124" spans="1:38">
      <c r="J124" s="424" t="s">
        <v>94</v>
      </c>
      <c r="K124" s="424"/>
      <c r="L124" s="424"/>
      <c r="M124" s="471"/>
    </row>
    <row r="125" spans="1:38" ht="18">
      <c r="A125" s="676" t="s">
        <v>427</v>
      </c>
      <c r="B125" s="676"/>
      <c r="C125" s="676"/>
      <c r="D125" s="676"/>
      <c r="E125" s="676"/>
      <c r="F125" s="676"/>
      <c r="G125" s="676"/>
      <c r="H125" s="676"/>
      <c r="I125" s="676"/>
      <c r="J125" s="676"/>
      <c r="K125" s="417"/>
      <c r="L125" s="417"/>
      <c r="M125" s="434"/>
    </row>
    <row r="126" spans="1:38" ht="15.75">
      <c r="A126" s="81"/>
      <c r="B126" s="17"/>
      <c r="C126" s="44"/>
      <c r="D126" s="56"/>
      <c r="E126" s="17"/>
      <c r="F126" s="17"/>
      <c r="G126" s="17"/>
      <c r="H126" s="141"/>
      <c r="I126" s="17"/>
      <c r="J126" s="141"/>
      <c r="K126" s="141"/>
      <c r="L126" s="141"/>
      <c r="U126" s="472"/>
      <c r="AC126" s="1" t="s">
        <v>438</v>
      </c>
    </row>
    <row r="127" spans="1:38" ht="15.75">
      <c r="A127" s="677" t="s">
        <v>434</v>
      </c>
      <c r="B127" s="677"/>
      <c r="C127" s="677"/>
      <c r="D127" s="677"/>
      <c r="E127" s="677"/>
      <c r="F127" s="677"/>
      <c r="G127" s="677"/>
      <c r="H127" s="677"/>
      <c r="I127" s="677"/>
      <c r="J127" s="677"/>
      <c r="K127" s="236"/>
      <c r="L127" s="236"/>
      <c r="U127" s="469"/>
      <c r="AC127" s="466" t="s">
        <v>434</v>
      </c>
      <c r="AD127" s="236"/>
      <c r="AE127" s="236"/>
      <c r="AF127" s="236"/>
      <c r="AG127" s="236"/>
      <c r="AH127" s="236"/>
      <c r="AI127" s="236"/>
      <c r="AJ127" s="236"/>
      <c r="AK127" s="236"/>
      <c r="AL127" s="236"/>
    </row>
    <row r="128" spans="1:38" ht="15.75">
      <c r="A128" s="677" t="s">
        <v>101</v>
      </c>
      <c r="B128" s="677"/>
      <c r="C128" s="677"/>
      <c r="D128" s="677"/>
      <c r="E128" s="677"/>
      <c r="F128" s="677"/>
      <c r="G128" s="677"/>
      <c r="H128" s="677"/>
      <c r="I128" s="677"/>
      <c r="J128" s="677"/>
      <c r="K128" s="236"/>
      <c r="L128" s="236"/>
      <c r="AC128" s="466" t="s">
        <v>437</v>
      </c>
      <c r="AD128" s="236"/>
      <c r="AE128" s="236"/>
      <c r="AF128" s="236"/>
      <c r="AG128" s="236"/>
      <c r="AH128" s="236"/>
      <c r="AI128" s="236"/>
      <c r="AJ128" s="236"/>
      <c r="AK128" s="236"/>
      <c r="AL128" s="236"/>
    </row>
    <row r="129" spans="1:38">
      <c r="A129" s="22"/>
      <c r="B129" s="22"/>
      <c r="C129" s="22"/>
      <c r="D129" s="22"/>
      <c r="E129" s="22"/>
      <c r="F129" s="22"/>
      <c r="G129" s="22"/>
      <c r="H129" s="130"/>
      <c r="I129" s="22"/>
      <c r="J129" s="130"/>
      <c r="K129" s="130"/>
      <c r="L129" s="130"/>
      <c r="AC129" s="22"/>
      <c r="AD129" s="22"/>
      <c r="AE129" s="22"/>
      <c r="AF129" s="22"/>
      <c r="AG129" s="22"/>
      <c r="AH129" s="22"/>
      <c r="AI129" s="22"/>
      <c r="AJ129" s="22"/>
      <c r="AK129" s="22"/>
      <c r="AL129" s="22"/>
    </row>
    <row r="130" spans="1:38">
      <c r="A130" s="62"/>
      <c r="B130" s="57" t="s">
        <v>475</v>
      </c>
      <c r="C130" s="57"/>
      <c r="D130" s="27"/>
      <c r="E130" s="27"/>
      <c r="F130" s="27"/>
      <c r="G130" s="58" t="s">
        <v>453</v>
      </c>
      <c r="H130" s="115"/>
      <c r="I130" s="30"/>
      <c r="J130" s="116"/>
      <c r="K130" s="425" t="s">
        <v>421</v>
      </c>
      <c r="L130" s="425"/>
      <c r="AC130" s="62"/>
      <c r="AD130" s="57" t="s">
        <v>475</v>
      </c>
      <c r="AE130" s="57"/>
      <c r="AF130" s="27"/>
      <c r="AG130" s="27"/>
      <c r="AH130" s="27"/>
      <c r="AI130" s="58" t="s">
        <v>453</v>
      </c>
      <c r="AJ130" s="29"/>
      <c r="AK130" s="30"/>
      <c r="AL130" s="31"/>
    </row>
    <row r="131" spans="1:38" ht="36">
      <c r="A131" s="46"/>
      <c r="B131" s="59" t="s">
        <v>559</v>
      </c>
      <c r="C131" s="47">
        <v>1</v>
      </c>
      <c r="D131" s="47">
        <v>2</v>
      </c>
      <c r="E131" s="47">
        <v>3</v>
      </c>
      <c r="F131" s="47" t="s">
        <v>425</v>
      </c>
      <c r="G131" s="61">
        <v>1</v>
      </c>
      <c r="H131" s="118">
        <v>2</v>
      </c>
      <c r="I131" s="59" t="s">
        <v>420</v>
      </c>
      <c r="J131" s="117" t="s">
        <v>425</v>
      </c>
      <c r="K131" s="147"/>
      <c r="L131" s="147"/>
      <c r="AC131" s="46"/>
      <c r="AD131" s="59" t="s">
        <v>559</v>
      </c>
      <c r="AE131" s="47">
        <v>1</v>
      </c>
      <c r="AF131" s="47">
        <v>2</v>
      </c>
      <c r="AG131" s="47">
        <v>3</v>
      </c>
      <c r="AH131" s="47" t="s">
        <v>425</v>
      </c>
      <c r="AI131" s="61">
        <v>1</v>
      </c>
      <c r="AJ131" s="48">
        <v>2</v>
      </c>
      <c r="AK131" s="59" t="s">
        <v>420</v>
      </c>
      <c r="AL131" s="47" t="s">
        <v>425</v>
      </c>
    </row>
    <row r="132" spans="1:38" ht="15" customHeight="1">
      <c r="A132" s="1" t="s">
        <v>476</v>
      </c>
      <c r="B132" s="7">
        <f>+GETPIVOTDATA(" Undergrad Contact Hour FTE - New",'FTE Pivot for regular counts'!$A$2,"Category","7","Category2","Two-Year")</f>
        <v>10852.695555555554</v>
      </c>
      <c r="C132" s="7">
        <f>+GETPIVOTDATA(" Undergrad Contact Hour FTE - New",'FTE Pivot for regular counts'!$A$2,"Category","8","Category2","Two-Year")</f>
        <v>40139.247777777782</v>
      </c>
      <c r="D132" s="7">
        <f>+GETPIVOTDATA(" Undergrad Contact Hour FTE - New",'FTE Pivot for regular counts'!$A$2,"Category","9","Category2","Two-Year")</f>
        <v>11645.612222222222</v>
      </c>
      <c r="E132" s="7">
        <f>+GETPIVOTDATA(" Undergrad Contact Hour FTE - New",'FTE Pivot for regular counts'!$A$2,"Category","10","Category2","Two-Year")</f>
        <v>1384.0111111111112</v>
      </c>
      <c r="F132" s="8">
        <f>+GETPIVOTDATA(" Undergrad Contact Hour FTE - New",'FTE Pivot for regular counts'!$A$2,"Category2","Two-Year")</f>
        <v>64021.566666666666</v>
      </c>
      <c r="G132" s="7">
        <f>+GETPIVOTDATA(" Undergrad Contact Hour FTE - New",'FTE Pivot for regular counts'!$A$2,"Category","12","Category2","Technical")</f>
        <v>6714.8237444444449</v>
      </c>
      <c r="H132" s="142">
        <f>+GETPIVOTDATA(" Undergrad Contact Hour FTE - New",'FTE Pivot for regular counts'!$A$2,"Category","13","Category2","Technical")</f>
        <v>25459.720311111105</v>
      </c>
      <c r="I132" s="7">
        <f>+GETPIVOTDATA(" Undergrad Contact Hour FTE - New",'FTE Pivot for regular counts'!$A$2,"Category",14,"Category2","Technical")</f>
        <v>98.387222222222221</v>
      </c>
      <c r="J132" s="142">
        <f>+GETPIVOTDATA(" Undergrad Contact Hour FTE - New",'FTE Pivot for regular counts'!$A$2,"Category2","Technical")</f>
        <v>32272.931277777774</v>
      </c>
      <c r="K132" s="142"/>
      <c r="L132" s="142"/>
      <c r="AC132" s="1" t="s">
        <v>476</v>
      </c>
      <c r="AD132" s="7">
        <f>+GETPIVOTDATA(" Undergrad Contact Hour FTE - Old",'FTE Pivot for regular counts'!$A$2,"Category","7","Category2","Two-Year")</f>
        <v>10608.951111111111</v>
      </c>
      <c r="AE132" s="7">
        <f>+GETPIVOTDATA(" Undergrad Contact Hour FTE - Old",'FTE Pivot for regular counts'!$A$2,"Category","8","Category2","Two-Year")</f>
        <v>39275.869999999995</v>
      </c>
      <c r="AF132" s="7">
        <f>+GETPIVOTDATA(" Undergrad Contact Hour FTE - Old",'FTE Pivot for regular counts'!$A$2,"Category","9","Category2","Two-Year")</f>
        <v>12103.255555555555</v>
      </c>
      <c r="AG132" s="7">
        <f>+GETPIVOTDATA(" Undergrad Contact Hour FTE - Old",'FTE Pivot for regular counts'!$A$2,"Category","10","Category2","Two-Year")</f>
        <v>1390.2999999999997</v>
      </c>
      <c r="AH132" s="8">
        <f>+GETPIVOTDATA(" Undergrad Contact Hour FTE - Old",'FTE Pivot for regular counts'!$A$2,"Category2","Two-Year")</f>
        <v>63378.376666666663</v>
      </c>
      <c r="AI132" s="7">
        <f>+GETPIVOTDATA(" Undergrad Contact Hour FTE - Old",'FTE Pivot for regular counts'!$A$2,"Category","12","Category2","Technical")</f>
        <v>6980.4503777777791</v>
      </c>
      <c r="AJ132" s="7">
        <f>+GETPIVOTDATA(" Undergrad Contact Hour FTE - Old",'FTE Pivot for regular counts'!$A$2,"Category","13","Category2","Technical")</f>
        <v>24965.529122222222</v>
      </c>
      <c r="AK132" s="7">
        <f>+GETPIVOTDATA(" Undergrad Contact Hour FTE - Old",'FTE Pivot for regular counts'!$A$2,"Category",14,"Category2","Technical")</f>
        <v>106.50222222222222</v>
      </c>
      <c r="AL132" s="7">
        <f>+GETPIVOTDATA(" Undergrad Contact Hour FTE - Old",'FTE Pivot for regular counts'!$A$2,"Category2","Technical")</f>
        <v>32052.481722222223</v>
      </c>
    </row>
    <row r="133" spans="1:38" ht="15" customHeight="1">
      <c r="B133" s="7"/>
      <c r="C133" s="33"/>
      <c r="D133" s="33"/>
      <c r="G133" s="32"/>
      <c r="AD133" s="7"/>
      <c r="AE133" s="33"/>
      <c r="AF133" s="33"/>
      <c r="AI133" s="32"/>
    </row>
    <row r="134" spans="1:38" ht="15" customHeight="1">
      <c r="A134" s="1" t="s">
        <v>477</v>
      </c>
      <c r="B134" s="7">
        <f>+GETPIVOTDATA(" Undergrad Contact Hour FTE - New",'FTE Pivot for regular counts'!$A$2,"State","AL","Category","7","Category2","Two-Year")</f>
        <v>0</v>
      </c>
      <c r="C134" s="7">
        <f>+GETPIVOTDATA(" Undergrad Contact Hour FTE - New",'FTE Pivot for regular counts'!$A$2,"State","AL","Category","8","Category2","Two-Year")</f>
        <v>0</v>
      </c>
      <c r="D134" s="7">
        <f>+GETPIVOTDATA(" Undergrad Contact Hour FTE - New",'FTE Pivot for regular counts'!$A$2,"State","AL","Category","9","Category2","Two-Year")</f>
        <v>0</v>
      </c>
      <c r="E134" s="7">
        <f>+GETPIVOTDATA(" Undergrad Contact Hour FTE - New",'FTE Pivot for regular counts'!$A$2,"State","AL","Category","10","Category2","Two-Year")</f>
        <v>0</v>
      </c>
      <c r="F134" s="8">
        <f>+GETPIVOTDATA(" Undergrad Contact Hour FTE - New",'FTE Pivot for regular counts'!$A$2,"State","AL","Category2","Two-Year")</f>
        <v>0</v>
      </c>
      <c r="G134" s="7">
        <f>+GETPIVOTDATA(" Undergrad Contact Hour FTE - New",'FTE Pivot for regular counts'!$A$2,"State","AL","Category","12","Category2","Technical")</f>
        <v>0</v>
      </c>
      <c r="H134" s="142">
        <f>+GETPIVOTDATA(" Undergrad Contact Hour FTE - New",'FTE Pivot for regular counts'!$A$2,"State","AL","Category","13","Category2","Technical")</f>
        <v>0</v>
      </c>
      <c r="I134" s="7">
        <f>+GETPIVOTDATA(" Undergrad Contact Hour FTE - New",'FTE Pivot for regular counts'!$A$2,"State","AL","Category",14,"Category2","Technical")</f>
        <v>0</v>
      </c>
      <c r="J134" s="142">
        <f>+GETPIVOTDATA(" Undergrad Contact Hour FTE - New",'FTE Pivot for regular counts'!$A$2,"State","AL","Category2","Technical")</f>
        <v>0</v>
      </c>
      <c r="K134" s="142"/>
      <c r="L134" s="142"/>
      <c r="AC134" s="1" t="s">
        <v>477</v>
      </c>
      <c r="AD134" s="7">
        <f>+GETPIVOTDATA(" Undergrad Contact Hour FTE - Old",'FTE Pivot for regular counts'!$A$2,"State","AL","Category","7","Category2","Two-Year")</f>
        <v>0</v>
      </c>
      <c r="AE134" s="7">
        <f>+GETPIVOTDATA(" Undergrad Contact Hour FTE - Old",'FTE Pivot for regular counts'!$A$2,"State","AL","Category","8","Category2","Two-Year")</f>
        <v>0</v>
      </c>
      <c r="AF134" s="7">
        <f>+GETPIVOTDATA(" Undergrad Contact Hour FTE - Old",'FTE Pivot for regular counts'!$A$2,"State","AL","Category","9","Category2","Two-Year")</f>
        <v>0</v>
      </c>
      <c r="AG134" s="7">
        <f>+GETPIVOTDATA(" Undergrad Contact Hour FTE - Old",'FTE Pivot for regular counts'!$A$2,"State","AL","Category","10","Category2","Two-Year")</f>
        <v>0</v>
      </c>
      <c r="AH134" s="8">
        <f>+GETPIVOTDATA(" Undergrad Contact Hour FTE - Old",'FTE Pivot for regular counts'!$A$2,"State","AL","Category2","Two-Year")</f>
        <v>0</v>
      </c>
      <c r="AI134" s="7">
        <f>+GETPIVOTDATA(" Undergrad Contact Hour FTE - Old",'FTE Pivot for regular counts'!$A$2,"State","AL","Category","12","Category2","Technical")</f>
        <v>0</v>
      </c>
      <c r="AJ134" s="7">
        <f>+GETPIVOTDATA(" Undergrad Contact Hour FTE - Old",'FTE Pivot for regular counts'!$A$2,"State","AL","Category","13","Category2","Technical")</f>
        <v>0</v>
      </c>
      <c r="AK134" s="7">
        <f>+GETPIVOTDATA(" Undergrad Contact Hour FTE - Old",'FTE Pivot for regular counts'!$A$2,"State","AL","Category",14,"Category2","Technical")</f>
        <v>0</v>
      </c>
      <c r="AL134" s="7">
        <f>+GETPIVOTDATA(" Undergrad Contact Hour FTE - Old",'FTE Pivot for regular counts'!$A$2,"State","AL","Category2","Technical")</f>
        <v>0</v>
      </c>
    </row>
    <row r="135" spans="1:38" ht="15" customHeight="1">
      <c r="A135" s="1" t="s">
        <v>478</v>
      </c>
      <c r="B135" s="33">
        <f>+GETPIVOTDATA(" Undergrad Contact Hour FTE - New",'FTE Pivot for regular counts'!$A$2,"State","AR","Category","7","Category2","Two-Year")</f>
        <v>0</v>
      </c>
      <c r="C135" s="33">
        <f>+GETPIVOTDATA(" Undergrad Contact Hour FTE - New",'FTE Pivot for regular counts'!$A$2,"State","AR","Category","8","Category2","Two-Year")</f>
        <v>0</v>
      </c>
      <c r="D135" s="33">
        <f>+GETPIVOTDATA(" Undergrad Contact Hour FTE - New",'FTE Pivot for regular counts'!$A$2,"State","AR","Category","9","Category2","Two-Year")</f>
        <v>0</v>
      </c>
      <c r="E135" s="33">
        <f>+GETPIVOTDATA(" Undergrad Contact Hour FTE - New",'FTE Pivot for regular counts'!$A$2,"State","AR","Category","10","Category2","Two-Year")</f>
        <v>0</v>
      </c>
      <c r="F135" s="8">
        <f>+GETPIVOTDATA(" Undergrad Contact Hour FTE - New",'FTE Pivot for regular counts'!$A$2,"State","AR","Category2","Two-Year")</f>
        <v>0</v>
      </c>
      <c r="G135" s="33">
        <f>+GETPIVOTDATA(" Undergrad Contact Hour FTE - New",'FTE Pivot for regular counts'!$A$2,"State","AR","Category","12","Category2","Technical")</f>
        <v>0</v>
      </c>
      <c r="H135" s="143">
        <f>+GETPIVOTDATA(" Undergrad Contact Hour FTE - New",'FTE Pivot for regular counts'!$A$2,"State","AR","Category","13","Category2","Technical")</f>
        <v>0</v>
      </c>
      <c r="I135" s="33">
        <f>+GETPIVOTDATA(" Undergrad Contact Hour FTE - New",'FTE Pivot for regular counts'!$A$2,"State","AR","Category",14,"Category2","Technical")</f>
        <v>0</v>
      </c>
      <c r="J135" s="143">
        <f>+GETPIVOTDATA(" Undergrad Contact Hour FTE - New",'FTE Pivot for regular counts'!$A$2,"State","AR","Category2","Technical")</f>
        <v>0</v>
      </c>
      <c r="K135" s="143"/>
      <c r="L135" s="143"/>
      <c r="AC135" s="1" t="s">
        <v>478</v>
      </c>
      <c r="AD135" s="33">
        <f>+GETPIVOTDATA(" Undergrad Contact Hour FTE - Old",'FTE Pivot for regular counts'!$A$2,"State","AR","Category","7","Category2","Two-Year")</f>
        <v>0</v>
      </c>
      <c r="AE135" s="33">
        <f>+GETPIVOTDATA(" Undergrad Contact Hour FTE - Old",'FTE Pivot for regular counts'!$A$2,"State","AR","Category","8","Category2","Two-Year")</f>
        <v>0</v>
      </c>
      <c r="AF135" s="33">
        <f>+GETPIVOTDATA(" Undergrad Contact Hour FTE - Old",'FTE Pivot for regular counts'!$A$2,"State","AR","Category","9","Category2","Two-Year")</f>
        <v>0</v>
      </c>
      <c r="AG135" s="33">
        <f>+GETPIVOTDATA(" Undergrad Contact Hour FTE - Old",'FTE Pivot for regular counts'!$A$2,"State","AR","Category","10","Category2","Two-Year")</f>
        <v>0</v>
      </c>
      <c r="AH135" s="8">
        <f>+GETPIVOTDATA(" Undergrad Contact Hour FTE - Old",'FTE Pivot for regular counts'!$A$2,"State","AR","Category2","Two-Year")</f>
        <v>0</v>
      </c>
      <c r="AI135" s="33">
        <f>+GETPIVOTDATA(" Undergrad Contact Hour FTE - Old",'FTE Pivot for regular counts'!$A$2,"State","AR","Category","12","Category2","Technical")</f>
        <v>0</v>
      </c>
      <c r="AJ135" s="33">
        <f>+GETPIVOTDATA(" Undergrad Contact Hour FTE - Old",'FTE Pivot for regular counts'!$A$2,"State","AR","Category","13","Category2","Technical")</f>
        <v>0</v>
      </c>
      <c r="AK135" s="33">
        <f>+GETPIVOTDATA(" Undergrad Contact Hour FTE - Old",'FTE Pivot for regular counts'!$A$2,"State","AR","Category",14,"Category2","Technical")</f>
        <v>0</v>
      </c>
      <c r="AL135" s="33">
        <f>+GETPIVOTDATA(" Undergrad Contact Hour FTE - Old",'FTE Pivot for regular counts'!$A$2,"State","AR","Category2","Technical")</f>
        <v>0</v>
      </c>
    </row>
    <row r="136" spans="1:38" ht="15" customHeight="1">
      <c r="A136" s="1" t="s">
        <v>515</v>
      </c>
      <c r="B136" s="33">
        <f>+GETPIVOTDATA(" Undergrad Contact Hour FTE - New",'FTE Pivot for regular counts'!$A$2,"State","DE","Category","7","Category2","Two-Year")</f>
        <v>0</v>
      </c>
      <c r="C136" s="33">
        <f>+GETPIVOTDATA(" Undergrad Contact Hour FTE - New",'FTE Pivot for regular counts'!$A$2,"State","DE","Category","8","Category2","Two-Year")</f>
        <v>0</v>
      </c>
      <c r="D136" s="33">
        <f>+GETPIVOTDATA(" Undergrad Contact Hour FTE - New",'FTE Pivot for regular counts'!$A$2,"State","DE","Category","9","Category2","Two-Year")</f>
        <v>0</v>
      </c>
      <c r="E136" s="33">
        <f>+GETPIVOTDATA(" Undergrad Contact Hour FTE - New",'FTE Pivot for regular counts'!$A$2,"State","DE","Category","10","Category2","Two-Year")</f>
        <v>0</v>
      </c>
      <c r="F136" s="8">
        <f>+GETPIVOTDATA(" Undergrad Contact Hour FTE - New",'FTE Pivot for regular counts'!$A$2,"State","DE","Category2","Two-Year")</f>
        <v>0</v>
      </c>
      <c r="G136" s="33">
        <f>+GETPIVOTDATA(" Undergrad Contact Hour FTE - New",'FTE Pivot for regular counts'!$A$2,"State","DE","Category","12","Category2","Technical")</f>
        <v>0</v>
      </c>
      <c r="H136" s="143">
        <f>+GETPIVOTDATA(" Undergrad Contact Hour FTE - New",'FTE Pivot for regular counts'!$A$2,"State","DE","Category","13","Category2","Technical")</f>
        <v>0</v>
      </c>
      <c r="I136" s="33">
        <f>+GETPIVOTDATA(" Undergrad Contact Hour FTE - New",'FTE Pivot for regular counts'!$A$2,"State","DE","Category",14,"Category2","Technical")</f>
        <v>0</v>
      </c>
      <c r="J136" s="143">
        <f>+GETPIVOTDATA(" Undergrad Contact Hour FTE - New",'FTE Pivot for regular counts'!$A$2,"State","DE","Category2","Technical")</f>
        <v>0</v>
      </c>
      <c r="K136" s="143"/>
      <c r="L136" s="143"/>
      <c r="AC136" s="1" t="s">
        <v>515</v>
      </c>
      <c r="AD136" s="33">
        <f>+GETPIVOTDATA(" Undergrad Contact Hour FTE - Old",'FTE Pivot for regular counts'!$A$2,"State","DE","Category","7","Category2","Two-Year")</f>
        <v>0</v>
      </c>
      <c r="AE136" s="33">
        <f>+GETPIVOTDATA(" Undergrad Contact Hour FTE - Old",'FTE Pivot for regular counts'!$A$2,"State","DE","Category","8","Category2","Two-Year")</f>
        <v>0</v>
      </c>
      <c r="AF136" s="33">
        <f>+GETPIVOTDATA(" Undergrad Contact Hour FTE - Old",'FTE Pivot for regular counts'!$A$2,"State","DE","Category","9","Category2","Two-Year")</f>
        <v>0</v>
      </c>
      <c r="AG136" s="33">
        <f>+GETPIVOTDATA(" Undergrad Contact Hour FTE - Old",'FTE Pivot for regular counts'!$A$2,"State","DE","Category","10","Category2","Two-Year")</f>
        <v>0</v>
      </c>
      <c r="AH136" s="8">
        <f>+GETPIVOTDATA(" Undergrad Contact Hour FTE - Old",'FTE Pivot for regular counts'!$A$2,"State","DE","Category2","Two-Year")</f>
        <v>0</v>
      </c>
      <c r="AI136" s="33">
        <f>+GETPIVOTDATA(" Undergrad Contact Hour FTE - Old",'FTE Pivot for regular counts'!$A$2,"State","DE","Category","12","Category2","Technical")</f>
        <v>0</v>
      </c>
      <c r="AJ136" s="33">
        <f>+GETPIVOTDATA(" Undergrad Contact Hour FTE - Old",'FTE Pivot for regular counts'!$A$2,"State","DE","Category","13","Category2","Technical")</f>
        <v>0</v>
      </c>
      <c r="AK136" s="33">
        <f>+GETPIVOTDATA(" Undergrad Contact Hour FTE - Old",'FTE Pivot for regular counts'!$A$2,"State","DE","Category",14,"Category2","Technical")</f>
        <v>0</v>
      </c>
      <c r="AL136" s="33">
        <f>+GETPIVOTDATA(" Undergrad Contact Hour FTE - Old",'FTE Pivot for regular counts'!$A$2,"State","DE","Category2","Technical")</f>
        <v>0</v>
      </c>
    </row>
    <row r="137" spans="1:38" ht="15" customHeight="1">
      <c r="A137" s="1" t="s">
        <v>479</v>
      </c>
      <c r="B137" s="33">
        <f>+GETPIVOTDATA(" Undergrad Contact Hour FTE - New",'FTE Pivot for regular counts'!$A$2,"State","FL","Category","7","Category2","Two-Year")</f>
        <v>10852.695555555554</v>
      </c>
      <c r="C137" s="33">
        <f>+GETPIVOTDATA(" Undergrad Contact Hour FTE - New",'FTE Pivot for regular counts'!$A$2,"State","FL","Category","8","Category2","Two-Year")</f>
        <v>28767.931111111113</v>
      </c>
      <c r="D137" s="33">
        <f>+GETPIVOTDATA(" Undergrad Contact Hour FTE - New",'FTE Pivot for regular counts'!$A$2,"State","FL","Category","9","Category2","Two-Year")</f>
        <v>4035.1366666666663</v>
      </c>
      <c r="E137" s="33">
        <f>+GETPIVOTDATA(" Undergrad Contact Hour FTE - New",'FTE Pivot for regular counts'!$A$2,"State","FL","Category","10","Category2","Two-Year")</f>
        <v>229.1911111111111</v>
      </c>
      <c r="F137" s="8">
        <f>+GETPIVOTDATA(" Undergrad Contact Hour FTE - New",'FTE Pivot for regular counts'!$A$2,"State","FL","Category2","Two-Year")</f>
        <v>43884.95444444444</v>
      </c>
      <c r="G137" s="33">
        <f>+GETPIVOTDATA(" Undergrad Contact Hour FTE - New",'FTE Pivot for regular counts'!$A$2,"State","FL","Category","12","Category2","Technical")</f>
        <v>0</v>
      </c>
      <c r="H137" s="143">
        <f>+GETPIVOTDATA(" Undergrad Contact Hour FTE - New",'FTE Pivot for regular counts'!$A$2,"State","FL","Category","13","Category2","Technical")</f>
        <v>0</v>
      </c>
      <c r="I137" s="33">
        <f>+GETPIVOTDATA(" Undergrad Contact Hour FTE - New",'FTE Pivot for regular counts'!$A$2,"State","FL","Category",14,"Category2","Technical")</f>
        <v>0</v>
      </c>
      <c r="J137" s="143">
        <f>+GETPIVOTDATA(" Undergrad Contact Hour FTE - New",'FTE Pivot for regular counts'!$A$2,"State","FL","Category2","Technical")</f>
        <v>0</v>
      </c>
      <c r="K137" s="143"/>
      <c r="L137" s="143"/>
      <c r="AC137" s="1" t="s">
        <v>479</v>
      </c>
      <c r="AD137" s="33">
        <f>+GETPIVOTDATA(" Undergrad Contact Hour FTE - Old",'FTE Pivot for regular counts'!$A$2,"State","FL","Category","7","Category2","Two-Year")</f>
        <v>10608.951111111111</v>
      </c>
      <c r="AE137" s="33">
        <f>+GETPIVOTDATA(" Undergrad Contact Hour FTE - Old",'FTE Pivot for regular counts'!$A$2,"State","FL","Category","8","Category2","Two-Year")</f>
        <v>28117.987777777777</v>
      </c>
      <c r="AF137" s="33">
        <f>+GETPIVOTDATA(" Undergrad Contact Hour FTE - Old",'FTE Pivot for regular counts'!$A$2,"State","FL","Category","9","Category2","Two-Year")</f>
        <v>4550.1422222222227</v>
      </c>
      <c r="AG137" s="33">
        <f>+GETPIVOTDATA(" Undergrad Contact Hour FTE - Old",'FTE Pivot for regular counts'!$A$2,"State","FL","Category","10","Category2","Two-Year")</f>
        <v>238.9711111111111</v>
      </c>
      <c r="AH137" s="8">
        <f>+GETPIVOTDATA(" Undergrad Contact Hour FTE - Old",'FTE Pivot for regular counts'!$A$2,"State","FL","Category2","Two-Year")</f>
        <v>43516.052222222221</v>
      </c>
      <c r="AI137" s="33">
        <f>+GETPIVOTDATA(" Undergrad Contact Hour FTE - Old",'FTE Pivot for regular counts'!$A$2,"State","FL","Category","12","Category2","Technical")</f>
        <v>0</v>
      </c>
      <c r="AJ137" s="33">
        <f>+GETPIVOTDATA(" Undergrad Contact Hour FTE - Old",'FTE Pivot for regular counts'!$A$2,"State","FL","Category","13","Category2","Technical")</f>
        <v>0</v>
      </c>
      <c r="AK137" s="33">
        <f>+GETPIVOTDATA(" Undergrad Contact Hour FTE - Old",'FTE Pivot for regular counts'!$A$2,"State","FL","Category",14,"Category2","Technical")</f>
        <v>0</v>
      </c>
      <c r="AL137" s="33">
        <f>+GETPIVOTDATA(" Undergrad Contact Hour FTE - Old",'FTE Pivot for regular counts'!$A$2,"State","FL","Category2","Technical")</f>
        <v>0</v>
      </c>
    </row>
    <row r="138" spans="1:38" ht="15" customHeight="1">
      <c r="B138" s="33"/>
      <c r="C138" s="33"/>
      <c r="D138" s="33"/>
      <c r="E138" s="33"/>
      <c r="F138" s="8"/>
      <c r="G138" s="33"/>
      <c r="H138" s="143"/>
      <c r="I138" s="33"/>
      <c r="J138" s="143"/>
      <c r="K138" s="143"/>
      <c r="L138" s="143"/>
      <c r="AD138" s="33"/>
      <c r="AE138" s="33"/>
      <c r="AF138" s="33"/>
      <c r="AG138" s="33"/>
      <c r="AH138" s="8"/>
      <c r="AI138" s="33"/>
      <c r="AJ138" s="33"/>
      <c r="AK138" s="33"/>
      <c r="AL138" s="33"/>
    </row>
    <row r="139" spans="1:38" ht="15" customHeight="1">
      <c r="A139" s="1" t="s">
        <v>480</v>
      </c>
      <c r="B139" s="33">
        <f>+GETPIVOTDATA(" Undergrad Contact Hour FTE - New",'FTE Pivot for regular counts'!$A$2,"State","GA","Category","7","Category2","Two-Year")</f>
        <v>0</v>
      </c>
      <c r="C139" s="33">
        <f>+GETPIVOTDATA(" Undergrad Contact Hour FTE - New",'FTE Pivot for regular counts'!$A$2,"State","GA","Category","8","Category2","Two-Year")</f>
        <v>0</v>
      </c>
      <c r="D139" s="33">
        <f>+GETPIVOTDATA(" Undergrad Contact Hour FTE - New",'FTE Pivot for regular counts'!$A$2,"State","GA","Category","9","Category2","Two-Year")</f>
        <v>0</v>
      </c>
      <c r="E139" s="33">
        <f>+GETPIVOTDATA(" Undergrad Contact Hour FTE - New",'FTE Pivot for regular counts'!$A$2,"State","GA","Category","10","Category2","Two-Year")</f>
        <v>0</v>
      </c>
      <c r="F139" s="8">
        <f>+GETPIVOTDATA(" Undergrad Contact Hour FTE - New",'FTE Pivot for regular counts'!$A$2,"State","GA","Category2","Two-Year")</f>
        <v>0</v>
      </c>
      <c r="G139" s="33">
        <f>+GETPIVOTDATA(" Undergrad Contact Hour FTE - New",'FTE Pivot for regular counts'!$A$2,"State","GA","Category","12","Category2","Technical")</f>
        <v>0</v>
      </c>
      <c r="H139" s="143">
        <f>+GETPIVOTDATA(" Undergrad Contact Hour FTE - New",'FTE Pivot for regular counts'!$A$2,"State","GA","Category","13","Category2","Technical")</f>
        <v>0</v>
      </c>
      <c r="I139" s="33">
        <f>+GETPIVOTDATA(" Undergrad Contact Hour FTE - New",'FTE Pivot for regular counts'!$A$2,"State","GA","Category",14,"Category2","Technical")</f>
        <v>0</v>
      </c>
      <c r="J139" s="143">
        <f>+GETPIVOTDATA(" Undergrad Contact Hour FTE - New",'FTE Pivot for regular counts'!$A$2,"State","GA","Category2","Technical")</f>
        <v>0</v>
      </c>
      <c r="K139" s="143"/>
      <c r="L139" s="143"/>
      <c r="AC139" s="1" t="s">
        <v>480</v>
      </c>
      <c r="AD139" s="33">
        <f>+GETPIVOTDATA(" Undergrad Contact Hour FTE - Old",'FTE Pivot for regular counts'!$A$2,"State","GA","Category","7","Category2","Two-Year")</f>
        <v>0</v>
      </c>
      <c r="AE139" s="33">
        <f>+GETPIVOTDATA(" Undergrad Contact Hour FTE - Old",'FTE Pivot for regular counts'!$A$2,"State","GA","Category","8","Category2","Two-Year")</f>
        <v>0</v>
      </c>
      <c r="AF139" s="33">
        <f>+GETPIVOTDATA(" Undergrad Contact Hour FTE - Old",'FTE Pivot for regular counts'!$A$2,"State","GA","Category","9","Category2","Two-Year")</f>
        <v>0</v>
      </c>
      <c r="AG139" s="33">
        <f>+GETPIVOTDATA(" Undergrad Contact Hour FTE - Old",'FTE Pivot for regular counts'!$A$2,"State","GA","Category","10","Category2","Two-Year")</f>
        <v>0</v>
      </c>
      <c r="AH139" s="8">
        <f>+GETPIVOTDATA(" Undergrad Contact Hour FTE - Old",'FTE Pivot for regular counts'!$A$2,"State","GA","Category2","Two-Year")</f>
        <v>0</v>
      </c>
      <c r="AI139" s="33">
        <f>+GETPIVOTDATA(" Undergrad Contact Hour FTE - Old",'FTE Pivot for regular counts'!$A$2,"State","GA","Category","12","Category2","Technical")</f>
        <v>0</v>
      </c>
      <c r="AJ139" s="33">
        <f>+GETPIVOTDATA(" Undergrad Contact Hour FTE - Old",'FTE Pivot for regular counts'!$A$2,"State","GA","Category","13","Category2","Technical")</f>
        <v>0</v>
      </c>
      <c r="AK139" s="33">
        <f>+GETPIVOTDATA(" Undergrad Contact Hour FTE - Old",'FTE Pivot for regular counts'!$A$2,"State","GA","Category",14,"Category2","Technical")</f>
        <v>0</v>
      </c>
      <c r="AL139" s="33">
        <f>+GETPIVOTDATA(" Undergrad Contact Hour FTE - Old",'FTE Pivot for regular counts'!$A$2,"State","GA","Category2","Technical")</f>
        <v>0</v>
      </c>
    </row>
    <row r="140" spans="1:38" ht="15" customHeight="1">
      <c r="A140" s="1" t="s">
        <v>481</v>
      </c>
      <c r="B140" s="33">
        <f>+GETPIVOTDATA(" Undergrad Contact Hour FTE - New",'FTE Pivot for regular counts'!$A$2,"State","KY","Category","7","Category2","Two-Year")</f>
        <v>0</v>
      </c>
      <c r="C140" s="33">
        <f>+GETPIVOTDATA(" Undergrad Contact Hour FTE - New",'FTE Pivot for regular counts'!$A$2,"State","KY","Category","8","Category2","Two-Year")</f>
        <v>0</v>
      </c>
      <c r="D140" s="33">
        <f>+GETPIVOTDATA(" Undergrad Contact Hour FTE - New",'FTE Pivot for regular counts'!$A$2,"State","KY","Category","9","Category2","Two-Year")</f>
        <v>0</v>
      </c>
      <c r="E140" s="33">
        <f>+GETPIVOTDATA(" Undergrad Contact Hour FTE - New",'FTE Pivot for regular counts'!$A$2,"State","KY","Category","10","Category2","Two-Year")</f>
        <v>0</v>
      </c>
      <c r="F140" s="8">
        <f>+GETPIVOTDATA(" Undergrad Contact Hour FTE - New",'FTE Pivot for regular counts'!$A$2,"State","KY","Category2","Two-Year")</f>
        <v>0</v>
      </c>
      <c r="G140" s="33">
        <f>+GETPIVOTDATA(" Undergrad Contact Hour FTE - New",'FTE Pivot for regular counts'!$A$2,"State","KY","Category","12","Category2","Technical")</f>
        <v>0</v>
      </c>
      <c r="H140" s="143">
        <f>+GETPIVOTDATA(" Undergrad Contact Hour FTE - New",'FTE Pivot for regular counts'!$A$2,"State","KY","Category","13","Category2","Technical")</f>
        <v>0</v>
      </c>
      <c r="I140" s="33">
        <f>+GETPIVOTDATA(" Undergrad Contact Hour FTE - New",'FTE Pivot for regular counts'!$A$2,"State","KY","Category",14,"Category2","Technical")</f>
        <v>0</v>
      </c>
      <c r="J140" s="143">
        <f>+GETPIVOTDATA(" Undergrad Contact Hour FTE - New",'FTE Pivot for regular counts'!$A$2,"State","KY","Category2","Technical")</f>
        <v>0</v>
      </c>
      <c r="K140" s="143"/>
      <c r="L140" s="143"/>
      <c r="AC140" s="1" t="s">
        <v>481</v>
      </c>
      <c r="AD140" s="33">
        <f>+GETPIVOTDATA(" Undergrad Contact Hour FTE - Old",'FTE Pivot for regular counts'!$A$2,"State","KY","Category","7","Category2","Two-Year")</f>
        <v>0</v>
      </c>
      <c r="AE140" s="33">
        <f>+GETPIVOTDATA(" Undergrad Contact Hour FTE - Old",'FTE Pivot for regular counts'!$A$2,"State","KY","Category","8","Category2","Two-Year")</f>
        <v>0</v>
      </c>
      <c r="AF140" s="33">
        <f>+GETPIVOTDATA(" Undergrad Contact Hour FTE - Old",'FTE Pivot for regular counts'!$A$2,"State","KY","Category","9","Category2","Two-Year")</f>
        <v>0</v>
      </c>
      <c r="AG140" s="33">
        <f>+GETPIVOTDATA(" Undergrad Contact Hour FTE - Old",'FTE Pivot for regular counts'!$A$2,"State","KY","Category","10","Category2","Two-Year")</f>
        <v>0</v>
      </c>
      <c r="AH140" s="8">
        <f>+GETPIVOTDATA(" Undergrad Contact Hour FTE - Old",'FTE Pivot for regular counts'!$A$2,"State","KY","Category2","Two-Year")</f>
        <v>0</v>
      </c>
      <c r="AI140" s="33">
        <f>+GETPIVOTDATA(" Undergrad Contact Hour FTE - Old",'FTE Pivot for regular counts'!$A$2,"State","KY","Category","12","Category2","Technical")</f>
        <v>0</v>
      </c>
      <c r="AJ140" s="33">
        <f>+GETPIVOTDATA(" Undergrad Contact Hour FTE - Old",'FTE Pivot for regular counts'!$A$2,"State","KY","Category","13","Category2","Technical")</f>
        <v>0</v>
      </c>
      <c r="AK140" s="33">
        <f>+GETPIVOTDATA(" Undergrad Contact Hour FTE - Old",'FTE Pivot for regular counts'!$A$2,"State","KY","Category",14,"Category2","Technical")</f>
        <v>0</v>
      </c>
      <c r="AL140" s="33">
        <f>+GETPIVOTDATA(" Undergrad Contact Hour FTE - Old",'FTE Pivot for regular counts'!$A$2,"State","KY","Category2","Technical")</f>
        <v>0</v>
      </c>
    </row>
    <row r="141" spans="1:38" ht="15" customHeight="1">
      <c r="A141" s="1" t="s">
        <v>482</v>
      </c>
      <c r="B141" s="33">
        <f>+GETPIVOTDATA(" Undergrad Contact Hour FTE - New",'FTE Pivot for regular counts'!$A$2,"State","LA","Category","7","Category2","Two-Year")</f>
        <v>0</v>
      </c>
      <c r="C141" s="33">
        <f>+GETPIVOTDATA(" Undergrad Contact Hour FTE - New",'FTE Pivot for regular counts'!$A$2,"State","LA","Category","8","Category2","Two-Year")</f>
        <v>0</v>
      </c>
      <c r="D141" s="33">
        <f>+GETPIVOTDATA(" Undergrad Contact Hour FTE - New",'FTE Pivot for regular counts'!$A$2,"State","LA","Category","9","Category2","Two-Year")</f>
        <v>0</v>
      </c>
      <c r="E141" s="33">
        <f>+GETPIVOTDATA(" Undergrad Contact Hour FTE - New",'FTE Pivot for regular counts'!$A$2,"State","LA","Category","10","Category2","Two-Year")</f>
        <v>0</v>
      </c>
      <c r="F141" s="8">
        <f>+GETPIVOTDATA(" Undergrad Contact Hour FTE - New",'FTE Pivot for regular counts'!$A$2,"State","LA","Category2","Two-Year")</f>
        <v>0</v>
      </c>
      <c r="G141" s="33">
        <f>+GETPIVOTDATA(" Undergrad Contact Hour FTE - New",'FTE Pivot for regular counts'!$A$2,"State","LA","Category","12","Category2","Technical")</f>
        <v>0</v>
      </c>
      <c r="H141" s="143">
        <f>+GETPIVOTDATA(" Undergrad Contact Hour FTE - New",'FTE Pivot for regular counts'!$A$2,"State","LA","Category","13","Category2","Technical")</f>
        <v>24.097777777777779</v>
      </c>
      <c r="I141" s="33">
        <f>+GETPIVOTDATA(" Undergrad Contact Hour FTE - New",'FTE Pivot for regular counts'!$A$2,"State","LA","Category",14,"Category2","Technical")</f>
        <v>98.387222222222221</v>
      </c>
      <c r="J141" s="143">
        <f>+GETPIVOTDATA(" Undergrad Contact Hour FTE - New",'FTE Pivot for regular counts'!$A$2,"State","LA","Category2","Technical")</f>
        <v>122.485</v>
      </c>
      <c r="K141" s="143"/>
      <c r="L141" s="143"/>
      <c r="AC141" s="1" t="s">
        <v>482</v>
      </c>
      <c r="AD141" s="33">
        <f>+GETPIVOTDATA(" Undergrad Contact Hour FTE - Old",'FTE Pivot for regular counts'!$A$2,"State","LA","Category","7","Category2","Two-Year")</f>
        <v>0</v>
      </c>
      <c r="AE141" s="33">
        <f>+GETPIVOTDATA(" Undergrad Contact Hour FTE - Old",'FTE Pivot for regular counts'!$A$2,"State","LA","Category","8","Category2","Two-Year")</f>
        <v>0</v>
      </c>
      <c r="AF141" s="33">
        <f>+GETPIVOTDATA(" Undergrad Contact Hour FTE - Old",'FTE Pivot for regular counts'!$A$2,"State","LA","Category","9","Category2","Two-Year")</f>
        <v>0</v>
      </c>
      <c r="AG141" s="33">
        <f>+GETPIVOTDATA(" Undergrad Contact Hour FTE - Old",'FTE Pivot for regular counts'!$A$2,"State","LA","Category","10","Category2","Two-Year")</f>
        <v>0</v>
      </c>
      <c r="AH141" s="8">
        <f>+GETPIVOTDATA(" Undergrad Contact Hour FTE - Old",'FTE Pivot for regular counts'!$A$2,"State","LA","Category2","Two-Year")</f>
        <v>0</v>
      </c>
      <c r="AI141" s="33">
        <f>+GETPIVOTDATA(" Undergrad Contact Hour FTE - Old",'FTE Pivot for regular counts'!$A$2,"State","LA","Category","12","Category2","Technical")</f>
        <v>0</v>
      </c>
      <c r="AJ141" s="33">
        <f>+GETPIVOTDATA(" Undergrad Contact Hour FTE - Old",'FTE Pivot for regular counts'!$A$2,"State","LA","Category","13","Category2","Technical")</f>
        <v>62.402222222222221</v>
      </c>
      <c r="AK141" s="33">
        <f>+GETPIVOTDATA(" Undergrad Contact Hour FTE - Old",'FTE Pivot for regular counts'!$A$2,"State","LA","Category",14,"Category2","Technical")</f>
        <v>106.50222222222222</v>
      </c>
      <c r="AL141" s="33">
        <f>+GETPIVOTDATA(" Undergrad Contact Hour FTE - Old",'FTE Pivot for regular counts'!$A$2,"State","LA","Category2","Technical")</f>
        <v>168.90444444444444</v>
      </c>
    </row>
    <row r="142" spans="1:38" ht="15" customHeight="1">
      <c r="A142" s="1" t="s">
        <v>483</v>
      </c>
      <c r="B142" s="33">
        <f>+GETPIVOTDATA(" Undergrad Contact Hour FTE - New",'FTE Pivot for regular counts'!$A$2,"State","MD","Category","7","Category2","Two-Year")</f>
        <v>0</v>
      </c>
      <c r="C142" s="33">
        <f>+GETPIVOTDATA(" Undergrad Contact Hour FTE - New",'FTE Pivot for regular counts'!$A$2,"State","MD","Category","8","Category2","Two-Year")</f>
        <v>0</v>
      </c>
      <c r="D142" s="33">
        <f>+GETPIVOTDATA(" Undergrad Contact Hour FTE - New",'FTE Pivot for regular counts'!$A$2,"State","MD","Category","9","Category2","Two-Year")</f>
        <v>0</v>
      </c>
      <c r="E142" s="33">
        <f>+GETPIVOTDATA(" Undergrad Contact Hour FTE - New",'FTE Pivot for regular counts'!$A$2,"State","MD","Category","10","Category2","Two-Year")</f>
        <v>0</v>
      </c>
      <c r="F142" s="8">
        <f>+GETPIVOTDATA(" Undergrad Contact Hour FTE - New",'FTE Pivot for regular counts'!$A$2,"State","MD","Category2","Two-Year")</f>
        <v>0</v>
      </c>
      <c r="G142" s="33">
        <f>+GETPIVOTDATA(" Undergrad Contact Hour FTE - New",'FTE Pivot for regular counts'!$A$2,"State","MD","Category","12","Category2","Technical")</f>
        <v>0</v>
      </c>
      <c r="H142" s="143">
        <f>+GETPIVOTDATA(" Undergrad Contact Hour FTE - New",'FTE Pivot for regular counts'!$A$2,"State","MD","Category","13","Category2","Technical")</f>
        <v>0</v>
      </c>
      <c r="I142" s="33">
        <f>+GETPIVOTDATA(" Undergrad Contact Hour FTE - New",'FTE Pivot for regular counts'!$A$2,"State","MD","Category",14,"Category2","Technical")</f>
        <v>0</v>
      </c>
      <c r="J142" s="143">
        <f>+GETPIVOTDATA(" Undergrad Contact Hour FTE - New",'FTE Pivot for regular counts'!$A$2,"State","MD","Category2","Technical")</f>
        <v>0</v>
      </c>
      <c r="K142" s="143"/>
      <c r="L142" s="143"/>
      <c r="AC142" s="1" t="s">
        <v>483</v>
      </c>
      <c r="AD142" s="33">
        <f>+GETPIVOTDATA(" Undergrad Contact Hour FTE - Old",'FTE Pivot for regular counts'!$A$2,"State","MD","Category","7","Category2","Two-Year")</f>
        <v>0</v>
      </c>
      <c r="AE142" s="33">
        <f>+GETPIVOTDATA(" Undergrad Contact Hour FTE - Old",'FTE Pivot for regular counts'!$A$2,"State","MD","Category","8","Category2","Two-Year")</f>
        <v>0</v>
      </c>
      <c r="AF142" s="33">
        <f>+GETPIVOTDATA(" Undergrad Contact Hour FTE - Old",'FTE Pivot for regular counts'!$A$2,"State","MD","Category","9","Category2","Two-Year")</f>
        <v>0</v>
      </c>
      <c r="AG142" s="33">
        <f>+GETPIVOTDATA(" Undergrad Contact Hour FTE - Old",'FTE Pivot for regular counts'!$A$2,"State","MD","Category","10","Category2","Two-Year")</f>
        <v>0</v>
      </c>
      <c r="AH142" s="8">
        <f>+GETPIVOTDATA(" Undergrad Contact Hour FTE - Old",'FTE Pivot for regular counts'!$A$2,"State","MD","Category2","Two-Year")</f>
        <v>0</v>
      </c>
      <c r="AI142" s="33">
        <f>+GETPIVOTDATA(" Undergrad Contact Hour FTE - Old",'FTE Pivot for regular counts'!$A$2,"State","MD","Category","12","Category2","Technical")</f>
        <v>0</v>
      </c>
      <c r="AJ142" s="33">
        <f>+GETPIVOTDATA(" Undergrad Contact Hour FTE - Old",'FTE Pivot for regular counts'!$A$2,"State","MD","Category","13","Category2","Technical")</f>
        <v>0</v>
      </c>
      <c r="AK142" s="33">
        <f>+GETPIVOTDATA(" Undergrad Contact Hour FTE - Old",'FTE Pivot for regular counts'!$A$2,"State","MD","Category",14,"Category2","Technical")</f>
        <v>0</v>
      </c>
      <c r="AL142" s="33">
        <f>+GETPIVOTDATA(" Undergrad Contact Hour FTE - Old",'FTE Pivot for regular counts'!$A$2,"State","MD","Category2","Technical")</f>
        <v>0</v>
      </c>
    </row>
    <row r="143" spans="1:38" ht="15" customHeight="1">
      <c r="B143" s="33">
        <f>+GETPIVOTDATA(" Undergrad Contact Hour FTE - New",'FTE Pivot for regular counts'!$A$2,"State","AL","Category","7","Category2","Two-Year")</f>
        <v>0</v>
      </c>
      <c r="C143" s="33">
        <f>+GETPIVOTDATA(" Undergrad Contact Hour FTE - New",'FTE Pivot for regular counts'!$A$2,"State","AL","Category","8","Category2","Two-Year")</f>
        <v>0</v>
      </c>
      <c r="D143" s="33">
        <f>+GETPIVOTDATA(" Undergrad Contact Hour FTE - New",'FTE Pivot for regular counts'!$A$2,"State","AL","Category","9","Category2","Two-Year")</f>
        <v>0</v>
      </c>
      <c r="E143" s="33">
        <f>+GETPIVOTDATA(" Undergrad Contact Hour FTE - New",'FTE Pivot for regular counts'!$A$2,"State","AL","Category","10","Category2","Two-Year")</f>
        <v>0</v>
      </c>
      <c r="F143" s="8">
        <f>+GETPIVOTDATA(" Undergrad Contact Hour FTE - New",'FTE Pivot for regular counts'!$A$2,"State","AL","Category2","Two-Year")</f>
        <v>0</v>
      </c>
      <c r="G143" s="33">
        <f>+GETPIVOTDATA(" Undergrad Contact Hour FTE - New",'FTE Pivot for regular counts'!$A$2,"State","AL","Category","12","Category2","Technical")</f>
        <v>0</v>
      </c>
      <c r="H143" s="143">
        <f>+GETPIVOTDATA(" Undergrad Contact Hour FTE - New",'FTE Pivot for regular counts'!$A$2,"State","AL","Category","13","Category2","Technical")</f>
        <v>0</v>
      </c>
      <c r="I143" s="33">
        <f>+GETPIVOTDATA(" Undergrad Contact Hour FTE - New",'FTE Pivot for regular counts'!$A$2,"State","AL","Category",14,"Category2","Technical")</f>
        <v>0</v>
      </c>
      <c r="J143" s="143">
        <f>+GETPIVOTDATA(" Undergrad Contact Hour FTE - New",'FTE Pivot for regular counts'!$A$2,"State","AL","Category2","Technical")</f>
        <v>0</v>
      </c>
      <c r="K143" s="143"/>
      <c r="L143" s="143"/>
      <c r="AD143" s="33">
        <f>+GETPIVOTDATA(" Undergrad Contact Hour FTE - Old",'FTE Pivot for regular counts'!$A$2,"State","AL","Category","7","Category2","Two-Year")</f>
        <v>0</v>
      </c>
      <c r="AE143" s="33">
        <f>+GETPIVOTDATA(" Undergrad Contact Hour FTE - Old",'FTE Pivot for regular counts'!$A$2,"State","AL","Category","8","Category2","Two-Year")</f>
        <v>0</v>
      </c>
      <c r="AF143" s="33">
        <f>+GETPIVOTDATA(" Undergrad Contact Hour FTE - Old",'FTE Pivot for regular counts'!$A$2,"State","AL","Category","9","Category2","Two-Year")</f>
        <v>0</v>
      </c>
      <c r="AG143" s="33">
        <f>+GETPIVOTDATA(" Undergrad Contact Hour FTE - Old",'FTE Pivot for regular counts'!$A$2,"State","AL","Category","10","Category2","Two-Year")</f>
        <v>0</v>
      </c>
      <c r="AH143" s="8">
        <f>+GETPIVOTDATA(" Undergrad Contact Hour FTE - Old",'FTE Pivot for regular counts'!$A$2,"State","AL","Category2","Two-Year")</f>
        <v>0</v>
      </c>
      <c r="AI143" s="33">
        <f>+GETPIVOTDATA(" Undergrad Contact Hour FTE - Old",'FTE Pivot for regular counts'!$A$2,"State","AL","Category","12","Category2","Technical")</f>
        <v>0</v>
      </c>
      <c r="AJ143" s="33">
        <f>+GETPIVOTDATA(" Undergrad Contact Hour FTE - Old",'FTE Pivot for regular counts'!$A$2,"State","AL","Category","13","Category2","Technical")</f>
        <v>0</v>
      </c>
      <c r="AK143" s="33">
        <f>+GETPIVOTDATA(" Undergrad Contact Hour FTE - Old",'FTE Pivot for regular counts'!$A$2,"State","AL","Category",14,"Category2","Technical")</f>
        <v>0</v>
      </c>
      <c r="AL143" s="33">
        <f>+GETPIVOTDATA(" Undergrad Contact Hour FTE - Old",'FTE Pivot for regular counts'!$A$2,"State","AL","Category2","Technical")</f>
        <v>0</v>
      </c>
    </row>
    <row r="144" spans="1:38" ht="15" customHeight="1">
      <c r="A144" s="1" t="s">
        <v>484</v>
      </c>
      <c r="B144" s="33">
        <f>+GETPIVOTDATA(" Undergrad Contact Hour FTE - New",'FTE Pivot for regular counts'!$A$2,"State","MS","Category","7","Category2","Two-Year")</f>
        <v>0</v>
      </c>
      <c r="C144" s="33">
        <f>+GETPIVOTDATA(" Undergrad Contact Hour FTE - New",'FTE Pivot for regular counts'!$A$2,"State","MS","Category","8","Category2","Two-Year")</f>
        <v>0</v>
      </c>
      <c r="D144" s="33">
        <f>+GETPIVOTDATA(" Undergrad Contact Hour FTE - New",'FTE Pivot for regular counts'!$A$2,"State","MS","Category","9","Category2","Two-Year")</f>
        <v>0</v>
      </c>
      <c r="E144" s="33">
        <f>+GETPIVOTDATA(" Undergrad Contact Hour FTE - New",'FTE Pivot for regular counts'!$A$2,"State","MS","Category","10","Category2","Two-Year")</f>
        <v>0</v>
      </c>
      <c r="F144" s="8">
        <f>+GETPIVOTDATA(" Undergrad Contact Hour FTE - New",'FTE Pivot for regular counts'!$A$2,"State","MS","Category2","Two-Year")</f>
        <v>0</v>
      </c>
      <c r="G144" s="33">
        <f>+GETPIVOTDATA(" Undergrad Contact Hour FTE - New",'FTE Pivot for regular counts'!$A$2,"State","MS","Category","12","Category2","Technical")</f>
        <v>0</v>
      </c>
      <c r="H144" s="143">
        <f>+GETPIVOTDATA(" Undergrad Contact Hour FTE - New",'FTE Pivot for regular counts'!$A$2,"State","MS","Category","13","Category2","Technical")</f>
        <v>0</v>
      </c>
      <c r="I144" s="33">
        <f>+GETPIVOTDATA(" Undergrad Contact Hour FTE - New",'FTE Pivot for regular counts'!$A$2,"State","MS","Category",14,"Category2","Technical")</f>
        <v>0</v>
      </c>
      <c r="J144" s="143">
        <f>+GETPIVOTDATA(" Undergrad Contact Hour FTE - New",'FTE Pivot for regular counts'!$A$2,"State","MS","Category2","Technical")</f>
        <v>0</v>
      </c>
      <c r="K144" s="143"/>
      <c r="L144" s="143"/>
      <c r="AC144" s="1" t="s">
        <v>484</v>
      </c>
      <c r="AD144" s="33">
        <f>+GETPIVOTDATA(" Undergrad Contact Hour FTE - Old",'FTE Pivot for regular counts'!$A$2,"State","MS","Category","7","Category2","Two-Year")</f>
        <v>0</v>
      </c>
      <c r="AE144" s="33">
        <f>+GETPIVOTDATA(" Undergrad Contact Hour FTE - Old",'FTE Pivot for regular counts'!$A$2,"State","MS","Category","8","Category2","Two-Year")</f>
        <v>0</v>
      </c>
      <c r="AF144" s="33">
        <f>+GETPIVOTDATA(" Undergrad Contact Hour FTE - Old",'FTE Pivot for regular counts'!$A$2,"State","MS","Category","9","Category2","Two-Year")</f>
        <v>0</v>
      </c>
      <c r="AG144" s="33">
        <f>+GETPIVOTDATA(" Undergrad Contact Hour FTE - Old",'FTE Pivot for regular counts'!$A$2,"State","MS","Category","10","Category2","Two-Year")</f>
        <v>0</v>
      </c>
      <c r="AH144" s="8">
        <f>+GETPIVOTDATA(" Undergrad Contact Hour FTE - Old",'FTE Pivot for regular counts'!$A$2,"State","MS","Category2","Two-Year")</f>
        <v>0</v>
      </c>
      <c r="AI144" s="33">
        <f>+GETPIVOTDATA(" Undergrad Contact Hour FTE - Old",'FTE Pivot for regular counts'!$A$2,"State","MS","Category","12","Category2","Technical")</f>
        <v>0</v>
      </c>
      <c r="AJ144" s="33">
        <f>+GETPIVOTDATA(" Undergrad Contact Hour FTE - Old",'FTE Pivot for regular counts'!$A$2,"State","MS","Category","13","Category2","Technical")</f>
        <v>0</v>
      </c>
      <c r="AK144" s="33">
        <f>+GETPIVOTDATA(" Undergrad Contact Hour FTE - Old",'FTE Pivot for regular counts'!$A$2,"State","MS","Category",14,"Category2","Technical")</f>
        <v>0</v>
      </c>
      <c r="AL144" s="33">
        <f>+GETPIVOTDATA(" Undergrad Contact Hour FTE - Old",'FTE Pivot for regular counts'!$A$2,"State","MS","Category2","Technical")</f>
        <v>0</v>
      </c>
    </row>
    <row r="145" spans="1:62" ht="15" customHeight="1">
      <c r="A145" s="1" t="s">
        <v>485</v>
      </c>
      <c r="B145" s="33">
        <f>+GETPIVOTDATA(" Undergrad Contact Hour FTE - New",'FTE Pivot for regular counts'!$A$2,"State","NC","Category","7","Category2","Two-Year")</f>
        <v>0</v>
      </c>
      <c r="C145" s="33">
        <f>+GETPIVOTDATA(" Undergrad Contact Hour FTE - New",'FTE Pivot for regular counts'!$A$2,"State","NC","Category","8","Category2","Two-Year")</f>
        <v>0</v>
      </c>
      <c r="D145" s="33">
        <f>+GETPIVOTDATA(" Undergrad Contact Hour FTE - New",'FTE Pivot for regular counts'!$A$2,"State","NC","Category","9","Category2","Two-Year")</f>
        <v>0</v>
      </c>
      <c r="E145" s="33">
        <f>+GETPIVOTDATA(" Undergrad Contact Hour FTE - New",'FTE Pivot for regular counts'!$A$2,"State","NC","Category","10","Category2","Two-Year")</f>
        <v>0</v>
      </c>
      <c r="F145" s="8">
        <f>+GETPIVOTDATA(" Undergrad Contact Hour FTE - New",'FTE Pivot for regular counts'!$A$2,"State","NC","Category2","Two-Year")</f>
        <v>0</v>
      </c>
      <c r="G145" s="33">
        <f>+GETPIVOTDATA(" Undergrad Contact Hour FTE - New",'FTE Pivot for regular counts'!$A$2,"State","NC","Category","12","Category2","Technical")</f>
        <v>0</v>
      </c>
      <c r="H145" s="143">
        <f>+GETPIVOTDATA(" Undergrad Contact Hour FTE - New",'FTE Pivot for regular counts'!$A$2,"State","NC","Category","13","Category2","Technical")</f>
        <v>0</v>
      </c>
      <c r="I145" s="33">
        <f>+GETPIVOTDATA(" Undergrad Contact Hour FTE - New",'FTE Pivot for regular counts'!$A$2,"State","NC","Category",14,"Category2","Technical")</f>
        <v>0</v>
      </c>
      <c r="J145" s="143">
        <f>+GETPIVOTDATA(" Undergrad Contact Hour FTE - New",'FTE Pivot for regular counts'!$A$2,"State","NC","Category2","Technical")</f>
        <v>0</v>
      </c>
      <c r="K145" s="143"/>
      <c r="L145" s="143"/>
      <c r="AC145" s="1" t="s">
        <v>485</v>
      </c>
      <c r="AD145" s="33">
        <f>+GETPIVOTDATA(" Undergrad Contact Hour FTE - Old",'FTE Pivot for regular counts'!$A$2,"State","NC","Category","7","Category2","Two-Year")</f>
        <v>0</v>
      </c>
      <c r="AE145" s="33">
        <f>+GETPIVOTDATA(" Undergrad Contact Hour FTE - Old",'FTE Pivot for regular counts'!$A$2,"State","NC","Category","8","Category2","Two-Year")</f>
        <v>0</v>
      </c>
      <c r="AF145" s="33">
        <f>+GETPIVOTDATA(" Undergrad Contact Hour FTE - Old",'FTE Pivot for regular counts'!$A$2,"State","NC","Category","9","Category2","Two-Year")</f>
        <v>0</v>
      </c>
      <c r="AG145" s="33">
        <f>+GETPIVOTDATA(" Undergrad Contact Hour FTE - Old",'FTE Pivot for regular counts'!$A$2,"State","NC","Category","10","Category2","Two-Year")</f>
        <v>0</v>
      </c>
      <c r="AH145" s="8">
        <f>+GETPIVOTDATA(" Undergrad Contact Hour FTE - Old",'FTE Pivot for regular counts'!$A$2,"State","NC","Category2","Two-Year")</f>
        <v>0</v>
      </c>
      <c r="AI145" s="33">
        <f>+GETPIVOTDATA(" Undergrad Contact Hour FTE - Old",'FTE Pivot for regular counts'!$A$2,"State","NC","Category","12","Category2","Technical")</f>
        <v>0</v>
      </c>
      <c r="AJ145" s="33">
        <f>+GETPIVOTDATA(" Undergrad Contact Hour FTE - Old",'FTE Pivot for regular counts'!$A$2,"State","NC","Category","13","Category2","Technical")</f>
        <v>0</v>
      </c>
      <c r="AK145" s="33">
        <f>+GETPIVOTDATA(" Undergrad Contact Hour FTE - Old",'FTE Pivot for regular counts'!$A$2,"State","NC","Category",14,"Category2","Technical")</f>
        <v>0</v>
      </c>
      <c r="AL145" s="33">
        <f>+GETPIVOTDATA(" Undergrad Contact Hour FTE - Old",'FTE Pivot for regular counts'!$A$2,"State","NC","Category2","Technical")</f>
        <v>0</v>
      </c>
    </row>
    <row r="146" spans="1:62" ht="15" customHeight="1">
      <c r="A146" s="1" t="s">
        <v>486</v>
      </c>
      <c r="B146" s="33">
        <f>+GETPIVOTDATA(" Undergrad Contact Hour FTE - New",'FTE Pivot for regular counts'!$A$2,"State","OK","Category","7","Category2","Two-Year")</f>
        <v>0</v>
      </c>
      <c r="C146" s="33">
        <f>+GETPIVOTDATA(" Undergrad Contact Hour FTE - New",'FTE Pivot for regular counts'!$A$2,"State","OK","Category","8","Category2","Two-Year")</f>
        <v>0</v>
      </c>
      <c r="D146" s="33">
        <f>+GETPIVOTDATA(" Undergrad Contact Hour FTE - New",'FTE Pivot for regular counts'!$A$2,"State","OK","Category","9","Category2","Two-Year")</f>
        <v>0</v>
      </c>
      <c r="E146" s="33">
        <f>+GETPIVOTDATA(" Undergrad Contact Hour FTE - New",'FTE Pivot for regular counts'!$A$2,"State","OK","Category","10","Category2","Two-Year")</f>
        <v>0</v>
      </c>
      <c r="F146" s="8">
        <f>+GETPIVOTDATA(" Undergrad Contact Hour FTE - New",'FTE Pivot for regular counts'!$A$2,"State","OK","Category2","Two-Year")</f>
        <v>0</v>
      </c>
      <c r="G146" s="33">
        <f>+GETPIVOTDATA(" Undergrad Contact Hour FTE - New",'FTE Pivot for regular counts'!$A$2,"State","OK","Category","12","Category2","Technical")</f>
        <v>6714.8237444444449</v>
      </c>
      <c r="H146" s="143">
        <f>+GETPIVOTDATA(" Undergrad Contact Hour FTE - New",'FTE Pivot for regular counts'!$A$2,"State","OK","Category","13","Category2","Technical")</f>
        <v>14398.366977777776</v>
      </c>
      <c r="I146" s="33">
        <f>+GETPIVOTDATA(" Undergrad Contact Hour FTE - New",'FTE Pivot for regular counts'!$A$2,"State","OK","Category",14,"Category2","Technical")</f>
        <v>0</v>
      </c>
      <c r="J146" s="143">
        <f>+GETPIVOTDATA(" Undergrad Contact Hour FTE - New",'FTE Pivot for regular counts'!$A$2,"State","OK","Category2","Technical")</f>
        <v>21113.190722222222</v>
      </c>
      <c r="K146" s="143"/>
      <c r="L146" s="143"/>
      <c r="AC146" s="1" t="s">
        <v>486</v>
      </c>
      <c r="AD146" s="33">
        <f>+GETPIVOTDATA(" Undergrad Contact Hour FTE - Old",'FTE Pivot for regular counts'!$A$2,"State","OK","Category","7","Category2","Two-Year")</f>
        <v>0</v>
      </c>
      <c r="AE146" s="33">
        <f>+GETPIVOTDATA(" Undergrad Contact Hour FTE - Old",'FTE Pivot for regular counts'!$A$2,"State","OK","Category","8","Category2","Two-Year")</f>
        <v>0</v>
      </c>
      <c r="AF146" s="33">
        <f>+GETPIVOTDATA(" Undergrad Contact Hour FTE - Old",'FTE Pivot for regular counts'!$A$2,"State","OK","Category","9","Category2","Two-Year")</f>
        <v>0</v>
      </c>
      <c r="AG146" s="33">
        <f>+GETPIVOTDATA(" Undergrad Contact Hour FTE - Old",'FTE Pivot for regular counts'!$A$2,"State","OK","Category","10","Category2","Two-Year")</f>
        <v>0</v>
      </c>
      <c r="AH146" s="8">
        <f>+GETPIVOTDATA(" Undergrad Contact Hour FTE - Old",'FTE Pivot for regular counts'!$A$2,"State","OK","Category2","Two-Year")</f>
        <v>0</v>
      </c>
      <c r="AI146" s="33">
        <f>+GETPIVOTDATA(" Undergrad Contact Hour FTE - Old",'FTE Pivot for regular counts'!$A$2,"State","OK","Category","12","Category2","Technical")</f>
        <v>6980.4503777777791</v>
      </c>
      <c r="AJ146" s="33">
        <f>+GETPIVOTDATA(" Undergrad Contact Hour FTE - Old",'FTE Pivot for regular counts'!$A$2,"State","OK","Category","13","Category2","Technical")</f>
        <v>14620.030233333329</v>
      </c>
      <c r="AK146" s="33">
        <f>+GETPIVOTDATA(" Undergrad Contact Hour FTE - Old",'FTE Pivot for regular counts'!$A$2,"State","OK","Category",14,"Category2","Technical")</f>
        <v>0</v>
      </c>
      <c r="AL146" s="33">
        <f>+GETPIVOTDATA(" Undergrad Contact Hour FTE - Old",'FTE Pivot for regular counts'!$A$2,"State","OK","Category2","Technical")</f>
        <v>21600.48061111111</v>
      </c>
    </row>
    <row r="147" spans="1:62" ht="15" customHeight="1">
      <c r="A147" s="1" t="s">
        <v>487</v>
      </c>
      <c r="B147" s="33">
        <f>+GETPIVOTDATA(" Undergrad Contact Hour FTE - New",'FTE Pivot for regular counts'!$A$2,"State","SC","Category","7","Category2","Two-Year")</f>
        <v>0</v>
      </c>
      <c r="C147" s="33">
        <f>+GETPIVOTDATA(" Undergrad Contact Hour FTE - New",'FTE Pivot for regular counts'!$A$2,"State","SC","Category","8","Category2","Two-Year")</f>
        <v>0</v>
      </c>
      <c r="D147" s="33">
        <f>+GETPIVOTDATA(" Undergrad Contact Hour FTE - New",'FTE Pivot for regular counts'!$A$2,"State","SC","Category","9","Category2","Two-Year")</f>
        <v>0</v>
      </c>
      <c r="E147" s="33">
        <f>+GETPIVOTDATA(" Undergrad Contact Hour FTE - New",'FTE Pivot for regular counts'!$A$2,"State","SC","Category","10","Category2","Two-Year")</f>
        <v>0</v>
      </c>
      <c r="F147" s="8">
        <f>+GETPIVOTDATA(" Undergrad Contact Hour FTE - New",'FTE Pivot for regular counts'!$A$2,"State","SC","Category2","Two-Year")</f>
        <v>0</v>
      </c>
      <c r="G147" s="33">
        <f>+GETPIVOTDATA(" Undergrad Contact Hour FTE - New",'FTE Pivot for regular counts'!$A$2,"State","SC","Category","12","Category2","Technical")</f>
        <v>0</v>
      </c>
      <c r="H147" s="143">
        <f>+GETPIVOTDATA(" Undergrad Contact Hour FTE - New",'FTE Pivot for regular counts'!$A$2,"State","SC","Category","13","Category2","Technical")</f>
        <v>0</v>
      </c>
      <c r="I147" s="33">
        <f>+GETPIVOTDATA(" Undergrad Contact Hour FTE - New",'FTE Pivot for regular counts'!$A$2,"State","SC","Category",14,"Category2","Technical")</f>
        <v>0</v>
      </c>
      <c r="J147" s="143">
        <f>+GETPIVOTDATA(" Undergrad Contact Hour FTE - New",'FTE Pivot for regular counts'!$A$2,"State","SC","Category2","Technical")</f>
        <v>0</v>
      </c>
      <c r="K147" s="143"/>
      <c r="L147" s="143"/>
      <c r="AC147" s="1" t="s">
        <v>487</v>
      </c>
      <c r="AD147" s="33">
        <f>+GETPIVOTDATA(" Undergrad Contact Hour FTE - Old",'FTE Pivot for regular counts'!$A$2,"State","SC","Category","7","Category2","Two-Year")</f>
        <v>0</v>
      </c>
      <c r="AE147" s="33">
        <f>+GETPIVOTDATA(" Undergrad Contact Hour FTE - Old",'FTE Pivot for regular counts'!$A$2,"State","SC","Category","8","Category2","Two-Year")</f>
        <v>0</v>
      </c>
      <c r="AF147" s="33">
        <f>+GETPIVOTDATA(" Undergrad Contact Hour FTE - Old",'FTE Pivot for regular counts'!$A$2,"State","SC","Category","9","Category2","Two-Year")</f>
        <v>0</v>
      </c>
      <c r="AG147" s="33">
        <f>+GETPIVOTDATA(" Undergrad Contact Hour FTE - Old",'FTE Pivot for regular counts'!$A$2,"State","SC","Category","10","Category2","Two-Year")</f>
        <v>0</v>
      </c>
      <c r="AH147" s="8">
        <f>+GETPIVOTDATA(" Undergrad Contact Hour FTE - Old",'FTE Pivot for regular counts'!$A$2,"State","SC","Category2","Two-Year")</f>
        <v>0</v>
      </c>
      <c r="AI147" s="33">
        <f>+GETPIVOTDATA(" Undergrad Contact Hour FTE - Old",'FTE Pivot for regular counts'!$A$2,"State","SC","Category","12","Category2","Technical")</f>
        <v>0</v>
      </c>
      <c r="AJ147" s="33">
        <f>+GETPIVOTDATA(" Undergrad Contact Hour FTE - Old",'FTE Pivot for regular counts'!$A$2,"State","SC","Category","13","Category2","Technical")</f>
        <v>0</v>
      </c>
      <c r="AK147" s="33">
        <f>+GETPIVOTDATA(" Undergrad Contact Hour FTE - Old",'FTE Pivot for regular counts'!$A$2,"State","SC","Category",14,"Category2","Technical")</f>
        <v>0</v>
      </c>
      <c r="AL147" s="33">
        <f>+GETPIVOTDATA(" Undergrad Contact Hour FTE - Old",'FTE Pivot for regular counts'!$A$2,"State","SC","Category2","Technical")</f>
        <v>0</v>
      </c>
    </row>
    <row r="148" spans="1:62" ht="15" customHeight="1">
      <c r="B148" s="33">
        <f>+GETPIVOTDATA(" Undergrad Contact Hour FTE - New",'FTE Pivot for regular counts'!$A$2,"State","AL","Category","7","Category2","Two-Year")</f>
        <v>0</v>
      </c>
      <c r="C148" s="33">
        <f>+GETPIVOTDATA(" Undergrad Contact Hour FTE - New",'FTE Pivot for regular counts'!$A$2,"State","AL","Category","8","Category2","Two-Year")</f>
        <v>0</v>
      </c>
      <c r="D148" s="33">
        <f>+GETPIVOTDATA(" Undergrad Contact Hour FTE - New",'FTE Pivot for regular counts'!$A$2,"State","AL","Category","9","Category2","Two-Year")</f>
        <v>0</v>
      </c>
      <c r="E148" s="33">
        <f>+GETPIVOTDATA(" Undergrad Contact Hour FTE - New",'FTE Pivot for regular counts'!$A$2,"State","AL","Category","10","Category2","Two-Year")</f>
        <v>0</v>
      </c>
      <c r="F148" s="8">
        <f>+GETPIVOTDATA(" Undergrad Contact Hour FTE - New",'FTE Pivot for regular counts'!$A$2,"State","AL","Category2","Two-Year")</f>
        <v>0</v>
      </c>
      <c r="G148" s="33">
        <f>+GETPIVOTDATA(" Undergrad Contact Hour FTE - New",'FTE Pivot for regular counts'!$A$2,"State","AL","Category","12","Category2","Technical")</f>
        <v>0</v>
      </c>
      <c r="H148" s="143">
        <f>+GETPIVOTDATA(" Undergrad Contact Hour FTE - New",'FTE Pivot for regular counts'!$A$2,"State","AL","Category","13","Category2","Technical")</f>
        <v>0</v>
      </c>
      <c r="I148" s="33">
        <f>+GETPIVOTDATA(" Undergrad Contact Hour FTE - New",'FTE Pivot for regular counts'!$A$2,"State","AL","Category",14,"Category2","Technical")</f>
        <v>0</v>
      </c>
      <c r="J148" s="143">
        <f>+GETPIVOTDATA(" Undergrad Contact Hour FTE - New",'FTE Pivot for regular counts'!$A$2,"State","AL","Category2","Technical")</f>
        <v>0</v>
      </c>
      <c r="K148" s="143"/>
      <c r="L148" s="143"/>
      <c r="AD148" s="33">
        <f>+GETPIVOTDATA(" Undergrad Contact Hour FTE - Old",'FTE Pivot for regular counts'!$A$2,"State","AL","Category","7","Category2","Two-Year")</f>
        <v>0</v>
      </c>
      <c r="AE148" s="33">
        <f>+GETPIVOTDATA(" Undergrad Contact Hour FTE - Old",'FTE Pivot for regular counts'!$A$2,"State","AL","Category","8","Category2","Two-Year")</f>
        <v>0</v>
      </c>
      <c r="AF148" s="33">
        <f>+GETPIVOTDATA(" Undergrad Contact Hour FTE - Old",'FTE Pivot for regular counts'!$A$2,"State","AL","Category","9","Category2","Two-Year")</f>
        <v>0</v>
      </c>
      <c r="AG148" s="33">
        <f>+GETPIVOTDATA(" Undergrad Contact Hour FTE - Old",'FTE Pivot for regular counts'!$A$2,"State","AL","Category","10","Category2","Two-Year")</f>
        <v>0</v>
      </c>
      <c r="AH148" s="8">
        <f>+GETPIVOTDATA(" Undergrad Contact Hour FTE - Old",'FTE Pivot for regular counts'!$A$2,"State","AL","Category2","Two-Year")</f>
        <v>0</v>
      </c>
      <c r="AI148" s="33">
        <f>+GETPIVOTDATA(" Undergrad Contact Hour FTE - Old",'FTE Pivot for regular counts'!$A$2,"State","AL","Category","12","Category2","Technical")</f>
        <v>0</v>
      </c>
      <c r="AJ148" s="33">
        <f>+GETPIVOTDATA(" Undergrad Contact Hour FTE - Old",'FTE Pivot for regular counts'!$A$2,"State","AL","Category","13","Category2","Technical")</f>
        <v>0</v>
      </c>
      <c r="AK148" s="33">
        <f>+GETPIVOTDATA(" Undergrad Contact Hour FTE - Old",'FTE Pivot for regular counts'!$A$2,"State","AL","Category",14,"Category2","Technical")</f>
        <v>0</v>
      </c>
      <c r="AL148" s="33">
        <f>+GETPIVOTDATA(" Undergrad Contact Hour FTE - Old",'FTE Pivot for regular counts'!$A$2,"State","AL","Category2","Technical")</f>
        <v>0</v>
      </c>
    </row>
    <row r="149" spans="1:62" ht="15" customHeight="1">
      <c r="A149" s="1" t="s">
        <v>488</v>
      </c>
      <c r="B149" s="33">
        <f>+GETPIVOTDATA(" Undergrad Contact Hour FTE - New",'FTE Pivot for regular counts'!$A$2,"State","TN","Category","7","Category2","Two-Year")</f>
        <v>0</v>
      </c>
      <c r="C149" s="33">
        <f>+GETPIVOTDATA(" Undergrad Contact Hour FTE - New",'FTE Pivot for regular counts'!$A$2,"State","TN","Category","8","Category2","Two-Year")</f>
        <v>0</v>
      </c>
      <c r="D149" s="33">
        <f>+GETPIVOTDATA(" Undergrad Contact Hour FTE - New",'FTE Pivot for regular counts'!$A$2,"State","TN","Category","9","Category2","Two-Year")</f>
        <v>0</v>
      </c>
      <c r="E149" s="33">
        <f>+GETPIVOTDATA(" Undergrad Contact Hour FTE - New",'FTE Pivot for regular counts'!$A$2,"State","TN","Category","10","Category2","Two-Year")</f>
        <v>0</v>
      </c>
      <c r="F149" s="8">
        <f>+GETPIVOTDATA(" Undergrad Contact Hour FTE - New",'FTE Pivot for regular counts'!$A$2,"State","TN","Category2","Two-Year")</f>
        <v>0</v>
      </c>
      <c r="G149" s="33">
        <f>+GETPIVOTDATA(" Undergrad Contact Hour FTE - New",'FTE Pivot for regular counts'!$A$2,"State","TN","Category","12","Category2","Technical")</f>
        <v>0</v>
      </c>
      <c r="H149" s="143">
        <f>+GETPIVOTDATA(" Undergrad Contact Hour FTE - New",'FTE Pivot for regular counts'!$A$2,"State","TN","Category","13","Category2","Technical")</f>
        <v>11037.255555555552</v>
      </c>
      <c r="I149" s="33">
        <f>+GETPIVOTDATA(" Undergrad Contact Hour FTE - New",'FTE Pivot for regular counts'!$A$2,"State","TN","Category",14,"Category2","Technical")</f>
        <v>0</v>
      </c>
      <c r="J149" s="143">
        <f>+GETPIVOTDATA(" Undergrad Contact Hour FTE - New",'FTE Pivot for regular counts'!$A$2,"State","TN","Category2","Technical")</f>
        <v>11037.255555555552</v>
      </c>
      <c r="K149" s="143"/>
      <c r="L149" s="143"/>
      <c r="AC149" s="1" t="s">
        <v>488</v>
      </c>
      <c r="AD149" s="33">
        <f>+GETPIVOTDATA(" Undergrad Contact Hour FTE - Old",'FTE Pivot for regular counts'!$A$2,"State","TN","Category","7","Category2","Two-Year")</f>
        <v>0</v>
      </c>
      <c r="AE149" s="33">
        <f>+GETPIVOTDATA(" Undergrad Contact Hour FTE - Old",'FTE Pivot for regular counts'!$A$2,"State","TN","Category","8","Category2","Two-Year")</f>
        <v>0</v>
      </c>
      <c r="AF149" s="33">
        <f>+GETPIVOTDATA(" Undergrad Contact Hour FTE - Old",'FTE Pivot for regular counts'!$A$2,"State","TN","Category","9","Category2","Two-Year")</f>
        <v>0</v>
      </c>
      <c r="AG149" s="33">
        <f>+GETPIVOTDATA(" Undergrad Contact Hour FTE - Old",'FTE Pivot for regular counts'!$A$2,"State","TN","Category","10","Category2","Two-Year")</f>
        <v>0</v>
      </c>
      <c r="AH149" s="8">
        <f>+GETPIVOTDATA(" Undergrad Contact Hour FTE - Old",'FTE Pivot for regular counts'!$A$2,"State","TN","Category2","Two-Year")</f>
        <v>0</v>
      </c>
      <c r="AI149" s="33">
        <f>+GETPIVOTDATA(" Undergrad Contact Hour FTE - Old",'FTE Pivot for regular counts'!$A$2,"State","TN","Category","12","Category2","Technical")</f>
        <v>0</v>
      </c>
      <c r="AJ149" s="33">
        <f>+GETPIVOTDATA(" Undergrad Contact Hour FTE - Old",'FTE Pivot for regular counts'!$A$2,"State","TN","Category","13","Category2","Technical")</f>
        <v>10283.096666666668</v>
      </c>
      <c r="AK149" s="33">
        <f>+GETPIVOTDATA(" Undergrad Contact Hour FTE - Old",'FTE Pivot for regular counts'!$A$2,"State","TN","Category",14,"Category2","Technical")</f>
        <v>0</v>
      </c>
      <c r="AL149" s="33">
        <f>+GETPIVOTDATA(" Undergrad Contact Hour FTE - Old",'FTE Pivot for regular counts'!$A$2,"State","TN","Category2","Technical")</f>
        <v>10283.096666666668</v>
      </c>
    </row>
    <row r="150" spans="1:62" ht="15" customHeight="1">
      <c r="A150" s="1" t="s">
        <v>489</v>
      </c>
      <c r="B150" s="33">
        <f>+GETPIVOTDATA(" Undergrad Contact Hour FTE - New",'FTE Pivot for regular counts'!$A$2,"State","TX","Category","7","Category2","Two-Year")</f>
        <v>0</v>
      </c>
      <c r="C150" s="33">
        <f>+GETPIVOTDATA(" Undergrad Contact Hour FTE - New",'FTE Pivot for regular counts'!$A$2,"State","TX","Category","8","Category2","Two-Year")</f>
        <v>11371.316666666669</v>
      </c>
      <c r="D150" s="33">
        <f>+GETPIVOTDATA(" Undergrad Contact Hour FTE - New",'FTE Pivot for regular counts'!$A$2,"State","TX","Category","9","Category2","Two-Year")</f>
        <v>7610.4755555555548</v>
      </c>
      <c r="E150" s="33">
        <f>+GETPIVOTDATA(" Undergrad Contact Hour FTE - New",'FTE Pivot for regular counts'!$A$2,"State","TX","Category","10","Category2","Two-Year")</f>
        <v>1154.8200000000002</v>
      </c>
      <c r="F150" s="8">
        <f>+GETPIVOTDATA(" Undergrad Contact Hour FTE - New",'FTE Pivot for regular counts'!$A$2,"State","TX","Category2","Two-Year")</f>
        <v>20136.612222222226</v>
      </c>
      <c r="G150" s="33">
        <f>+GETPIVOTDATA(" Undergrad Contact Hour FTE - New",'FTE Pivot for regular counts'!$A$2,"State","TX","Category","12","Category2","Technical")</f>
        <v>0</v>
      </c>
      <c r="H150" s="143">
        <f>+GETPIVOTDATA(" Undergrad Contact Hour FTE - New",'FTE Pivot for regular counts'!$A$2,"State","TX","Category","13","Category2","Technical")</f>
        <v>0</v>
      </c>
      <c r="I150" s="33">
        <f>+GETPIVOTDATA(" Undergrad Contact Hour FTE - New",'FTE Pivot for regular counts'!$A$2,"State","TX","Category",14,"Category2","Technical")</f>
        <v>0</v>
      </c>
      <c r="J150" s="143">
        <f>+GETPIVOTDATA(" Undergrad Contact Hour FTE - New",'FTE Pivot for regular counts'!$A$2,"State","TX","Category2","Technical")</f>
        <v>0</v>
      </c>
      <c r="K150" s="143"/>
      <c r="L150" s="143"/>
      <c r="AC150" s="1" t="s">
        <v>489</v>
      </c>
      <c r="AD150" s="33">
        <f>+GETPIVOTDATA(" Undergrad Contact Hour FTE - Old",'FTE Pivot for regular counts'!$A$2,"State","TX","Category","7","Category2","Two-Year")</f>
        <v>0</v>
      </c>
      <c r="AE150" s="33">
        <f>+GETPIVOTDATA(" Undergrad Contact Hour FTE - Old",'FTE Pivot for regular counts'!$A$2,"State","TX","Category","8","Category2","Two-Year")</f>
        <v>11157.882222222222</v>
      </c>
      <c r="AF150" s="33">
        <f>+GETPIVOTDATA(" Undergrad Contact Hour FTE - Old",'FTE Pivot for regular counts'!$A$2,"State","TX","Category","9","Category2","Two-Year")</f>
        <v>7553.1133333333337</v>
      </c>
      <c r="AG150" s="33">
        <f>+GETPIVOTDATA(" Undergrad Contact Hour FTE - Old",'FTE Pivot for regular counts'!$A$2,"State","TX","Category","10","Category2","Two-Year")</f>
        <v>1151.3288888888887</v>
      </c>
      <c r="AH150" s="8">
        <f>+GETPIVOTDATA(" Undergrad Contact Hour FTE - Old",'FTE Pivot for regular counts'!$A$2,"State","TX","Category2","Two-Year")</f>
        <v>19862.324444444446</v>
      </c>
      <c r="AI150" s="33">
        <f>+GETPIVOTDATA(" Undergrad Contact Hour FTE - Old",'FTE Pivot for regular counts'!$A$2,"State","TX","Category","12","Category2","Technical")</f>
        <v>0</v>
      </c>
      <c r="AJ150" s="33">
        <f>+GETPIVOTDATA(" Undergrad Contact Hour FTE - Old",'FTE Pivot for regular counts'!$A$2,"State","TX","Category","13","Category2","Technical")</f>
        <v>0</v>
      </c>
      <c r="AK150" s="33">
        <f>+GETPIVOTDATA(" Undergrad Contact Hour FTE - Old",'FTE Pivot for regular counts'!$A$2,"State","TX","Category",14,"Category2","Technical")</f>
        <v>0</v>
      </c>
      <c r="AL150" s="33">
        <f>+GETPIVOTDATA(" Undergrad Contact Hour FTE - Old",'FTE Pivot for regular counts'!$A$2,"State","TX","Category2","Technical")</f>
        <v>0</v>
      </c>
    </row>
    <row r="151" spans="1:62" ht="15" customHeight="1">
      <c r="A151" s="1" t="s">
        <v>490</v>
      </c>
      <c r="B151" s="33">
        <f>+GETPIVOTDATA(" Undergrad Contact Hour FTE - New",'FTE Pivot for regular counts'!$A$2,"State","VA","Category","7","Category2","Two-Year")</f>
        <v>0</v>
      </c>
      <c r="C151" s="33">
        <f>+GETPIVOTDATA(" Undergrad Contact Hour FTE - New",'FTE Pivot for regular counts'!$A$2,"State","VA","Category","8","Category2","Two-Year")</f>
        <v>0</v>
      </c>
      <c r="D151" s="33">
        <f>+GETPIVOTDATA(" Undergrad Contact Hour FTE - New",'FTE Pivot for regular counts'!$A$2,"State","VA","Category","9","Category2","Two-Year")</f>
        <v>0</v>
      </c>
      <c r="E151" s="33">
        <f>+GETPIVOTDATA(" Undergrad Contact Hour FTE - New",'FTE Pivot for regular counts'!$A$2,"State","VA","Category","10","Category2","Two-Year")</f>
        <v>0</v>
      </c>
      <c r="F151" s="8">
        <f>+GETPIVOTDATA(" Undergrad Contact Hour FTE - New",'FTE Pivot for regular counts'!$A$2,"State","VA","Category2","Two-Year")</f>
        <v>0</v>
      </c>
      <c r="G151" s="33">
        <f>+GETPIVOTDATA(" Undergrad Contact Hour FTE - New",'FTE Pivot for regular counts'!$A$2,"State","VA","Category","12","Category2","Technical")</f>
        <v>0</v>
      </c>
      <c r="H151" s="143">
        <f>+GETPIVOTDATA(" Undergrad Contact Hour FTE - New",'FTE Pivot for regular counts'!$A$2,"State","VA","Category","13","Category2","Technical")</f>
        <v>0</v>
      </c>
      <c r="I151" s="33">
        <f>+GETPIVOTDATA(" Undergrad Contact Hour FTE - New",'FTE Pivot for regular counts'!$A$2,"State","VA","Category",14,"Category2","Technical")</f>
        <v>0</v>
      </c>
      <c r="J151" s="143">
        <f>+GETPIVOTDATA(" Undergrad Contact Hour FTE - New",'FTE Pivot for regular counts'!$A$2,"State","VA","Category2","Technical")</f>
        <v>0</v>
      </c>
      <c r="K151" s="143"/>
      <c r="L151" s="143"/>
      <c r="AC151" s="1" t="s">
        <v>490</v>
      </c>
      <c r="AD151" s="33">
        <f>+GETPIVOTDATA(" Undergrad Contact Hour FTE - Old",'FTE Pivot for regular counts'!$A$2,"State","VA","Category","7","Category2","Two-Year")</f>
        <v>0</v>
      </c>
      <c r="AE151" s="33">
        <f>+GETPIVOTDATA(" Undergrad Contact Hour FTE - Old",'FTE Pivot for regular counts'!$A$2,"State","VA","Category","8","Category2","Two-Year")</f>
        <v>0</v>
      </c>
      <c r="AF151" s="33">
        <f>+GETPIVOTDATA(" Undergrad Contact Hour FTE - Old",'FTE Pivot for regular counts'!$A$2,"State","VA","Category","9","Category2","Two-Year")</f>
        <v>0</v>
      </c>
      <c r="AG151" s="33">
        <f>+GETPIVOTDATA(" Undergrad Contact Hour FTE - Old",'FTE Pivot for regular counts'!$A$2,"State","VA","Category","10","Category2","Two-Year")</f>
        <v>0</v>
      </c>
      <c r="AH151" s="8">
        <f>+GETPIVOTDATA(" Undergrad Contact Hour FTE - Old",'FTE Pivot for regular counts'!$A$2,"State","VA","Category2","Two-Year")</f>
        <v>0</v>
      </c>
      <c r="AI151" s="33">
        <f>+GETPIVOTDATA(" Undergrad Contact Hour FTE - Old",'FTE Pivot for regular counts'!$A$2,"State","VA","Category","12","Category2","Technical")</f>
        <v>0</v>
      </c>
      <c r="AJ151" s="33">
        <f>+GETPIVOTDATA(" Undergrad Contact Hour FTE - Old",'FTE Pivot for regular counts'!$A$2,"State","VA","Category","13","Category2","Technical")</f>
        <v>0</v>
      </c>
      <c r="AK151" s="33">
        <f>+GETPIVOTDATA(" Undergrad Contact Hour FTE - Old",'FTE Pivot for regular counts'!$A$2,"State","VA","Category",14,"Category2","Technical")</f>
        <v>0</v>
      </c>
      <c r="AL151" s="33">
        <f>+GETPIVOTDATA(" Undergrad Contact Hour FTE - Old",'FTE Pivot for regular counts'!$A$2,"State","VA","Category2","Technical")</f>
        <v>0</v>
      </c>
    </row>
    <row r="152" spans="1:62" ht="15" customHeight="1">
      <c r="A152" s="3" t="s">
        <v>491</v>
      </c>
      <c r="B152" s="9">
        <f>+GETPIVOTDATA(" Undergrad Contact Hour FTE - New",'FTE Pivot for regular counts'!$A$2,"State","WV","Category","7","Category2","Two-Year")</f>
        <v>0</v>
      </c>
      <c r="C152" s="9">
        <f>+GETPIVOTDATA(" Undergrad Contact Hour FTE - New",'FTE Pivot for regular counts'!$A$2,"State","WV","Category","8","Category2","Two-Year")</f>
        <v>0</v>
      </c>
      <c r="D152" s="9">
        <f>+GETPIVOTDATA(" Undergrad Contact Hour FTE - New",'FTE Pivot for regular counts'!$A$2,"State","WV","Category","9","Category2","Two-Year")</f>
        <v>0</v>
      </c>
      <c r="E152" s="9">
        <f>+GETPIVOTDATA(" Undergrad Contact Hour FTE - New",'FTE Pivot for regular counts'!$A$2,"State","WV","Category","10","Category2","Two-Year")</f>
        <v>0</v>
      </c>
      <c r="F152" s="10">
        <f>+GETPIVOTDATA(" Undergrad Contact Hour FTE - New",'FTE Pivot for regular counts'!$A$2,"State","WV","Category2","Two-Year")</f>
        <v>0</v>
      </c>
      <c r="G152" s="9">
        <f>+GETPIVOTDATA(" Undergrad Contact Hour FTE - New",'FTE Pivot for regular counts'!$A$2,"State","WV","Category","12","Category2","Technical")</f>
        <v>0</v>
      </c>
      <c r="H152" s="144">
        <f>+GETPIVOTDATA(" Undergrad Contact Hour FTE - New",'FTE Pivot for regular counts'!$A$2,"State","WV","Category","13","Category2","Technical")</f>
        <v>0</v>
      </c>
      <c r="I152" s="9">
        <f>+GETPIVOTDATA(" Undergrad Contact Hour FTE - New",'FTE Pivot for regular counts'!$A$2,"State","WV","Category",14,"Category2","Technical")</f>
        <v>0</v>
      </c>
      <c r="J152" s="144">
        <f>+GETPIVOTDATA(" Undergrad Contact Hour FTE - New",'FTE Pivot for regular counts'!$A$2,"State","WV","Category2","Technical")</f>
        <v>0</v>
      </c>
      <c r="K152" s="143"/>
      <c r="L152" s="143"/>
      <c r="AC152" s="3" t="s">
        <v>491</v>
      </c>
      <c r="AD152" s="9">
        <f>+GETPIVOTDATA(" Undergrad Contact Hour FTE - Old",'FTE Pivot for regular counts'!$A$2,"State","WV","Category","7","Category2","Two-Year")</f>
        <v>0</v>
      </c>
      <c r="AE152" s="9">
        <f>+GETPIVOTDATA(" Undergrad Contact Hour FTE - Old",'FTE Pivot for regular counts'!$A$2,"State","WV","Category","8","Category2","Two-Year")</f>
        <v>0</v>
      </c>
      <c r="AF152" s="9">
        <f>+GETPIVOTDATA(" Undergrad Contact Hour FTE - Old",'FTE Pivot for regular counts'!$A$2,"State","WV","Category","9","Category2","Two-Year")</f>
        <v>0</v>
      </c>
      <c r="AG152" s="9">
        <f>+GETPIVOTDATA(" Undergrad Contact Hour FTE - Old",'FTE Pivot for regular counts'!$A$2,"State","WV","Category","10","Category2","Two-Year")</f>
        <v>0</v>
      </c>
      <c r="AH152" s="10">
        <f>+GETPIVOTDATA(" Undergrad Contact Hour FTE - Old",'FTE Pivot for regular counts'!$A$2,"State","WV","Category2","Two-Year")</f>
        <v>0</v>
      </c>
      <c r="AI152" s="9">
        <f>+GETPIVOTDATA(" Undergrad Contact Hour FTE - Old",'FTE Pivot for regular counts'!$A$2,"State","WV","Category","12","Category2","Technical")</f>
        <v>0</v>
      </c>
      <c r="AJ152" s="9">
        <f>+GETPIVOTDATA(" Undergrad Contact Hour FTE - Old",'FTE Pivot for regular counts'!$A$2,"State","WV","Category","13","Category2","Technical")</f>
        <v>0</v>
      </c>
      <c r="AK152" s="9">
        <f>+GETPIVOTDATA(" Undergrad Contact Hour FTE - Old",'FTE Pivot for regular counts'!$A$2,"State","WV","Category",14,"Category2","Technical")</f>
        <v>0</v>
      </c>
      <c r="AL152" s="9">
        <f>+GETPIVOTDATA(" Undergrad Contact Hour FTE - Old",'FTE Pivot for regular counts'!$A$2,"State","WV","Category2","Technical")</f>
        <v>0</v>
      </c>
    </row>
    <row r="153" spans="1:62" s="25" customFormat="1" ht="9.9499999999999993" customHeight="1">
      <c r="A153" s="77"/>
      <c r="B153" s="16"/>
      <c r="C153" s="16"/>
      <c r="D153" s="16"/>
      <c r="E153" s="16"/>
      <c r="F153" s="16"/>
      <c r="G153" s="16"/>
      <c r="H153" s="133"/>
      <c r="I153" s="16"/>
      <c r="J153" s="133"/>
      <c r="K153" s="127"/>
      <c r="L153" s="127"/>
    </row>
    <row r="154" spans="1:62" ht="34.5" customHeight="1">
      <c r="A154" s="674" t="s">
        <v>104</v>
      </c>
      <c r="B154" s="674"/>
      <c r="C154" s="674"/>
      <c r="D154" s="674"/>
      <c r="E154" s="674"/>
      <c r="F154" s="674"/>
      <c r="G154" s="674"/>
      <c r="H154" s="674"/>
      <c r="I154" s="674"/>
      <c r="J154" s="674"/>
      <c r="K154" s="416"/>
      <c r="L154" s="416"/>
      <c r="M154" s="1"/>
    </row>
    <row r="155" spans="1:62">
      <c r="J155" s="424" t="s">
        <v>94</v>
      </c>
      <c r="K155" s="424"/>
      <c r="L155" s="424"/>
      <c r="M155" s="1"/>
    </row>
    <row r="156" spans="1:62" s="4" customFormat="1" ht="18">
      <c r="A156" s="139" t="s">
        <v>428</v>
      </c>
      <c r="B156" s="139"/>
      <c r="C156" s="139"/>
      <c r="D156" s="139"/>
      <c r="E156" s="139"/>
      <c r="F156" s="139"/>
      <c r="G156" s="139"/>
      <c r="H156" s="139"/>
      <c r="I156" s="139"/>
      <c r="J156" s="139"/>
      <c r="K156" s="139"/>
      <c r="L156" s="433"/>
      <c r="AC156" s="151" t="s">
        <v>438</v>
      </c>
      <c r="AD156" s="544" t="s">
        <v>929</v>
      </c>
      <c r="AE156" s="251"/>
      <c r="AF156" s="251"/>
      <c r="AG156" s="251"/>
      <c r="AH156" s="251"/>
      <c r="AJ156" s="124"/>
      <c r="AK156" s="561" t="s">
        <v>440</v>
      </c>
      <c r="AL156" s="124"/>
      <c r="AM156" s="124"/>
      <c r="AN156" s="124"/>
      <c r="AO156" s="124"/>
      <c r="AP156" s="124"/>
      <c r="AQ156" s="124"/>
      <c r="AV156" s="124"/>
      <c r="AW156" s="124"/>
      <c r="AX156" s="124"/>
      <c r="AY156" s="124"/>
      <c r="AZ156" s="561" t="s">
        <v>440</v>
      </c>
      <c r="BA156" s="124"/>
      <c r="BB156" s="124"/>
      <c r="BC156" s="124"/>
      <c r="BD156" s="124"/>
      <c r="BE156" s="124"/>
      <c r="BF156" s="124"/>
      <c r="BG156" s="1"/>
      <c r="BH156" s="1"/>
      <c r="BI156" s="1"/>
      <c r="BJ156" s="1"/>
    </row>
    <row r="157" spans="1:62" ht="12" customHeight="1">
      <c r="A157" s="21"/>
      <c r="B157" s="21"/>
      <c r="C157" s="21"/>
      <c r="D157" s="21"/>
      <c r="E157" s="21"/>
      <c r="F157" s="21"/>
      <c r="G157" s="21"/>
      <c r="H157" s="129"/>
      <c r="I157" s="21"/>
      <c r="J157" s="129"/>
      <c r="K157" s="129"/>
      <c r="L157" s="129"/>
      <c r="M157" s="1"/>
      <c r="AC157" s="251"/>
      <c r="AD157" s="149"/>
      <c r="AE157" s="251"/>
      <c r="AF157" s="251"/>
      <c r="AG157" s="251"/>
      <c r="AH157" s="251"/>
      <c r="AI157" s="251"/>
      <c r="AJ157" s="124"/>
      <c r="AK157" s="238" t="s">
        <v>685</v>
      </c>
      <c r="AL157" s="124"/>
      <c r="AM157" s="124"/>
      <c r="AN157" s="124"/>
      <c r="AO157" s="124"/>
      <c r="AP157" s="124"/>
      <c r="AQ157" s="124"/>
      <c r="AV157" s="124"/>
      <c r="AW157" s="124"/>
      <c r="AX157" s="124"/>
      <c r="AY157" s="124"/>
      <c r="AZ157" s="238" t="s">
        <v>438</v>
      </c>
      <c r="BA157" s="124"/>
      <c r="BB157" s="124"/>
      <c r="BC157" s="124"/>
      <c r="BD157" s="124"/>
      <c r="BE157" s="124"/>
      <c r="BF157" s="124"/>
    </row>
    <row r="158" spans="1:62" ht="15.75">
      <c r="A158" s="44" t="s">
        <v>435</v>
      </c>
      <c r="B158" s="44"/>
      <c r="C158" s="44"/>
      <c r="D158" s="44"/>
      <c r="E158" s="44"/>
      <c r="F158" s="44"/>
      <c r="G158" s="44"/>
      <c r="H158" s="44"/>
      <c r="I158" s="44"/>
      <c r="J158" s="44"/>
      <c r="K158" s="44"/>
      <c r="L158" s="236"/>
      <c r="M158" s="1"/>
      <c r="AC158" s="251"/>
      <c r="AD158" s="251" t="s">
        <v>930</v>
      </c>
      <c r="AE158" s="251"/>
      <c r="AF158" s="251"/>
      <c r="AG158" s="251"/>
      <c r="AH158" s="251"/>
      <c r="AI158" s="251"/>
      <c r="AJ158" s="124"/>
      <c r="AK158" s="124" t="s">
        <v>102</v>
      </c>
      <c r="AL158" s="124"/>
      <c r="AM158" s="124"/>
      <c r="AN158" s="124"/>
      <c r="AO158" s="124"/>
      <c r="AP158" s="124"/>
      <c r="AQ158" s="124"/>
      <c r="AV158" s="124"/>
      <c r="AW158" s="124"/>
      <c r="AX158" s="124"/>
      <c r="AY158" s="124"/>
      <c r="AZ158" s="124" t="s">
        <v>930</v>
      </c>
      <c r="BA158" s="124"/>
      <c r="BB158" s="124"/>
      <c r="BC158" s="124"/>
      <c r="BD158" s="124"/>
      <c r="BE158" s="124"/>
      <c r="BF158" s="124"/>
    </row>
    <row r="159" spans="1:62" ht="15.75">
      <c r="A159" s="44" t="s">
        <v>934</v>
      </c>
      <c r="B159" s="44"/>
      <c r="C159" s="44"/>
      <c r="D159" s="44"/>
      <c r="E159" s="44"/>
      <c r="F159" s="44"/>
      <c r="G159" s="44"/>
      <c r="H159" s="44"/>
      <c r="I159" s="44"/>
      <c r="J159" s="44"/>
      <c r="K159" s="44"/>
      <c r="L159" s="236"/>
      <c r="M159" s="469"/>
      <c r="Q159" s="151" t="s">
        <v>438</v>
      </c>
      <c r="AC159" s="251"/>
      <c r="AD159" s="149" t="s">
        <v>440</v>
      </c>
      <c r="AE159" s="251"/>
      <c r="AF159" s="251"/>
      <c r="AG159" s="251"/>
      <c r="AH159" s="251"/>
      <c r="AI159" s="251"/>
      <c r="AJ159" s="124"/>
      <c r="AK159" s="237"/>
      <c r="AL159" s="124"/>
      <c r="AM159" s="124"/>
      <c r="AN159" s="124"/>
      <c r="AO159" s="124"/>
      <c r="AP159" s="124"/>
      <c r="AQ159" s="124"/>
      <c r="AV159" s="124"/>
      <c r="AW159" s="124"/>
      <c r="AX159" s="124"/>
      <c r="AY159" s="124"/>
      <c r="AZ159" s="237"/>
      <c r="BA159" s="124"/>
      <c r="BB159" s="124"/>
      <c r="BC159" s="124"/>
      <c r="BD159" s="124"/>
      <c r="BE159" s="124"/>
      <c r="BF159" s="124"/>
    </row>
    <row r="160" spans="1:62">
      <c r="B160" s="2"/>
      <c r="C160" s="2"/>
      <c r="D160" s="2"/>
      <c r="E160" s="426"/>
      <c r="F160" s="2"/>
      <c r="G160" s="426"/>
      <c r="H160" s="477"/>
      <c r="I160" s="426"/>
      <c r="J160" s="477"/>
      <c r="K160" s="477"/>
      <c r="L160" s="477"/>
      <c r="M160" s="477"/>
      <c r="N160" s="3"/>
      <c r="O160" s="3"/>
      <c r="P160" s="3"/>
      <c r="Q160" s="562" t="s">
        <v>937</v>
      </c>
      <c r="R160" s="3"/>
      <c r="S160" s="3"/>
      <c r="T160" s="3"/>
      <c r="U160" s="3"/>
      <c r="V160" s="3"/>
      <c r="W160" s="3"/>
      <c r="X160" s="3"/>
      <c r="Y160" s="3"/>
      <c r="Z160" s="3"/>
      <c r="AA160" s="3"/>
      <c r="AC160" s="251"/>
      <c r="AD160" s="252" t="s">
        <v>475</v>
      </c>
      <c r="AE160" s="252"/>
      <c r="AF160" s="253"/>
      <c r="AG160" s="253"/>
      <c r="AH160" s="253"/>
      <c r="AI160" s="251"/>
      <c r="AJ160" s="124"/>
      <c r="AK160" s="239" t="s">
        <v>475</v>
      </c>
      <c r="AL160" s="239"/>
      <c r="AM160" s="240"/>
      <c r="AN160" s="240"/>
      <c r="AO160" s="240"/>
      <c r="AP160" s="240"/>
      <c r="AY160" s="124"/>
      <c r="AZ160" s="239" t="s">
        <v>475</v>
      </c>
      <c r="BA160" s="239"/>
      <c r="BB160" s="240"/>
      <c r="BC160" s="240"/>
      <c r="BD160" s="240"/>
      <c r="BE160" s="240"/>
    </row>
    <row r="161" spans="1:62" ht="15" customHeight="1">
      <c r="A161" s="46"/>
      <c r="B161" s="545" t="s">
        <v>559</v>
      </c>
      <c r="C161" s="66"/>
      <c r="D161" s="427">
        <v>1</v>
      </c>
      <c r="F161" s="481">
        <v>2</v>
      </c>
      <c r="H161" s="481">
        <v>3</v>
      </c>
      <c r="J161" s="481" t="s">
        <v>425</v>
      </c>
      <c r="K161" s="479"/>
      <c r="R161" s="25" t="s">
        <v>940</v>
      </c>
      <c r="S161" s="25"/>
      <c r="T161" s="563" t="s">
        <v>938</v>
      </c>
      <c r="U161" s="25"/>
      <c r="V161" s="563">
        <v>2</v>
      </c>
      <c r="W161" s="25"/>
      <c r="X161" s="563">
        <v>3</v>
      </c>
      <c r="Y161" s="25"/>
      <c r="Z161" s="563" t="s">
        <v>11</v>
      </c>
      <c r="AA161" s="25"/>
      <c r="AC161" s="251"/>
      <c r="AD161" s="258" t="s">
        <v>559</v>
      </c>
      <c r="AE161" s="259">
        <v>1</v>
      </c>
      <c r="AF161" s="259">
        <v>2</v>
      </c>
      <c r="AG161" s="259">
        <v>3</v>
      </c>
      <c r="AH161" s="259" t="s">
        <v>425</v>
      </c>
      <c r="AJ161" s="124"/>
      <c r="AK161" s="245" t="s">
        <v>559</v>
      </c>
      <c r="AL161" s="246">
        <v>1</v>
      </c>
      <c r="AM161" s="246">
        <v>2</v>
      </c>
      <c r="AN161" s="246">
        <v>3</v>
      </c>
      <c r="AO161" s="245" t="s">
        <v>420</v>
      </c>
      <c r="AP161" s="246" t="s">
        <v>425</v>
      </c>
      <c r="AY161" s="124"/>
      <c r="AZ161" s="245" t="s">
        <v>559</v>
      </c>
      <c r="BA161" s="246">
        <v>1</v>
      </c>
      <c r="BB161" s="246">
        <v>2</v>
      </c>
      <c r="BC161" s="246">
        <v>3</v>
      </c>
      <c r="BD161" s="245" t="s">
        <v>420</v>
      </c>
      <c r="BE161" s="246" t="s">
        <v>425</v>
      </c>
    </row>
    <row r="162" spans="1:62" ht="75.75" customHeight="1">
      <c r="A162" s="478"/>
      <c r="B162" s="479" t="s">
        <v>670</v>
      </c>
      <c r="C162" s="421" t="s">
        <v>93</v>
      </c>
      <c r="D162" s="480" t="s">
        <v>670</v>
      </c>
      <c r="E162" s="421" t="s">
        <v>93</v>
      </c>
      <c r="F162" s="480" t="s">
        <v>670</v>
      </c>
      <c r="G162" s="421" t="s">
        <v>93</v>
      </c>
      <c r="H162" s="480" t="s">
        <v>670</v>
      </c>
      <c r="I162" s="421" t="s">
        <v>93</v>
      </c>
      <c r="J162" s="480" t="s">
        <v>670</v>
      </c>
      <c r="K162" s="421" t="s">
        <v>93</v>
      </c>
      <c r="Q162" s="3"/>
      <c r="R162" s="552" t="s">
        <v>31</v>
      </c>
      <c r="S162" s="552" t="s">
        <v>33</v>
      </c>
      <c r="T162" s="554" t="s">
        <v>31</v>
      </c>
      <c r="U162" s="552" t="s">
        <v>33</v>
      </c>
      <c r="V162" s="554" t="s">
        <v>31</v>
      </c>
      <c r="W162" s="552" t="s">
        <v>33</v>
      </c>
      <c r="X162" s="554" t="s">
        <v>31</v>
      </c>
      <c r="Y162" s="552" t="s">
        <v>33</v>
      </c>
      <c r="Z162" s="554" t="s">
        <v>31</v>
      </c>
      <c r="AA162" s="552" t="s">
        <v>33</v>
      </c>
      <c r="AC162" s="251"/>
      <c r="AD162" s="473"/>
      <c r="AE162" s="474"/>
      <c r="AF162" s="474"/>
      <c r="AG162" s="474"/>
      <c r="AH162" s="474"/>
      <c r="AJ162" s="124"/>
      <c r="AK162" s="475"/>
      <c r="AL162" s="476"/>
      <c r="AM162" s="476"/>
      <c r="AN162" s="476"/>
      <c r="AO162" s="475"/>
      <c r="AP162" s="476"/>
      <c r="AY162" s="124"/>
      <c r="AZ162" s="475"/>
      <c r="BA162" s="476"/>
      <c r="BB162" s="476"/>
      <c r="BC162" s="476"/>
      <c r="BD162" s="475"/>
      <c r="BE162" s="476"/>
    </row>
    <row r="163" spans="1:62">
      <c r="A163" s="1" t="s">
        <v>476</v>
      </c>
      <c r="B163" s="7">
        <f>+Tables!B101+Tables!B132</f>
        <v>92390.395555555559</v>
      </c>
      <c r="C163" s="488">
        <f>+GETPIVOTDATA("Sum of New-HS % of Total",'Pivot-HS Student % of Undergrad'!$A$3,"Category",7,"Category2","Two-Year")</f>
        <v>5.4461611797447709E-3</v>
      </c>
      <c r="D163" s="428">
        <f>+Tables!C101+Tables!C132</f>
        <v>878775.28044444462</v>
      </c>
      <c r="E163" s="488">
        <f>+GETPIVOTDATA("Sum of New-HS % of Total",'Pivot-HS Student % of Undergrad'!$A$3,"Category",8,"Category2","Two-Year")</f>
        <v>2.5104512765515022E-2</v>
      </c>
      <c r="F163" s="428">
        <f>+Tables!D101+Tables!D132</f>
        <v>520534.89055555547</v>
      </c>
      <c r="G163" s="567">
        <f>+GETPIVOTDATA("Sum of New-HS % of Total",'Pivot-HS Student % of Undergrad'!$A$3,"Category",9,"Category2","Two-Year")</f>
        <v>5.4201253374273603E-2</v>
      </c>
      <c r="H163" s="430">
        <f>+Tables!E101+Tables!E132</f>
        <v>147225.64411111112</v>
      </c>
      <c r="I163" s="567">
        <f>+GETPIVOTDATA("Sum of New-HS % of Total",'Pivot-HS Student % of Undergrad'!$A$3,"Category",10,"Category2","Two-Year")</f>
        <v>6.7018774425965696E-2</v>
      </c>
      <c r="J163" s="428">
        <f>+Tables!F101+Tables!F132</f>
        <v>1638926.2106666665</v>
      </c>
      <c r="K163" s="488">
        <f>+GETPIVOTDATA("Sum of New-HS % of Total",'Pivot-HS Student % of Undergrad'!$A$3,"Category2","Group2")</f>
        <v>3.0096092818957303E-2</v>
      </c>
      <c r="Q163" s="1" t="s">
        <v>476</v>
      </c>
      <c r="R163" s="558">
        <f>+GETPIVOTDATA("Sum of Old-HS % of Total",'Pivot-HS Student % of Undergrad'!$A$3,"Category",7,"Category2","Two-Year")</f>
        <v>2.9222663049444087E-2</v>
      </c>
      <c r="S163" s="546" t="e">
        <f>+'Pivot-HS Student % of Undergrad'!AD125*100</f>
        <v>#VALUE!</v>
      </c>
      <c r="T163" s="556">
        <f>+GETPIVOTDATA("Sum of Old-HS % of Total",'Pivot-HS Student % of Undergrad'!$A$3,"Category",8,"Category2","Two-Year")</f>
        <v>3.7991144626725142E-2</v>
      </c>
      <c r="U163" s="546" t="e">
        <f>+'Pivot-HS Student % of Undergrad'!AE125*100</f>
        <v>#VALUE!</v>
      </c>
      <c r="V163" s="556">
        <f>+GETPIVOTDATA("Sum of Old-HS % of Total",'Pivot-HS Student % of Undergrad'!$A$3,"Category",9,"Category2","Two-Year")</f>
        <v>5.7725946254510371E-2</v>
      </c>
      <c r="W163" s="546" t="e">
        <f>+'Pivot-HS Student % of Undergrad'!AF125*100</f>
        <v>#VALUE!</v>
      </c>
      <c r="X163" s="556">
        <f>+GETPIVOTDATA("Sum of Old-HS % of Total",'Pivot-HS Student % of Undergrad'!$A$3,"Category",10,"Category2","Two-Year")</f>
        <v>7.0444038327121192E-2</v>
      </c>
      <c r="Y163" s="546" t="e">
        <f>+'Pivot-HS Student % of Undergrad'!AG125*100</f>
        <v>#VALUE!</v>
      </c>
      <c r="Z163" s="556">
        <f>+GETPIVOTDATA("Sum of Old-HS % of Total",'Pivot-HS Student % of Undergrad'!$A$3,"Category2","Two-Year")</f>
        <v>4.8209023626217318E-2</v>
      </c>
      <c r="AA163" s="546" t="e">
        <f>+'Pivot-HS Student % of Undergrad'!AH125*100</f>
        <v>#VALUE!</v>
      </c>
      <c r="AC163" s="251" t="s">
        <v>476</v>
      </c>
      <c r="AD163" s="263">
        <f>+Tables!V101+Tables!AD132</f>
        <v>87612.651111111118</v>
      </c>
      <c r="AE163" s="263">
        <f>+Tables!W101+Tables!AE132</f>
        <v>830113.81666666665</v>
      </c>
      <c r="AF163" s="263">
        <f>+Tables!X101+Tables!AF132</f>
        <v>500765.5795555556</v>
      </c>
      <c r="AG163" s="263">
        <f>+Tables!Y101+Tables!AG132</f>
        <v>140251.85433333332</v>
      </c>
      <c r="AH163" s="264">
        <f>+Tables!Z101+Tables!AH132</f>
        <v>1558743.9016666664</v>
      </c>
      <c r="AJ163" s="124" t="s">
        <v>476</v>
      </c>
      <c r="AK163" s="84">
        <f>SUM(AK165:AK183)</f>
        <v>92390.395555555573</v>
      </c>
      <c r="AL163" s="84">
        <f t="shared" ref="AL163:AP163" si="0">SUM(AL165:AL183)</f>
        <v>814845.70933333342</v>
      </c>
      <c r="AM163" s="84">
        <f t="shared" si="0"/>
        <v>504485.75611111108</v>
      </c>
      <c r="AN163" s="84">
        <f t="shared" si="0"/>
        <v>135683.3441111111</v>
      </c>
      <c r="AO163" s="84">
        <f>SUM(AO165:AO183)</f>
        <v>184573.70555555559</v>
      </c>
      <c r="AP163" s="84">
        <f t="shared" si="0"/>
        <v>1638926.2106666665</v>
      </c>
      <c r="AQ163" s="76"/>
      <c r="AV163" s="76"/>
      <c r="AW163" s="76"/>
      <c r="AX163" s="76"/>
      <c r="AY163" s="124" t="s">
        <v>476</v>
      </c>
      <c r="AZ163" s="84">
        <f t="shared" ref="AZ163:BE163" si="1">SUM(AZ165:AZ182)</f>
        <v>84800.351111111115</v>
      </c>
      <c r="BA163" s="84">
        <f t="shared" si="1"/>
        <v>767240.66444444435</v>
      </c>
      <c r="BB163" s="84">
        <f t="shared" si="1"/>
        <v>483698.35844444437</v>
      </c>
      <c r="BC163" s="84">
        <f t="shared" si="1"/>
        <v>118674.25433333333</v>
      </c>
      <c r="BD163" s="84">
        <f t="shared" si="1"/>
        <v>177550.71333333335</v>
      </c>
      <c r="BE163" s="84">
        <f t="shared" si="1"/>
        <v>1543256.5683333334</v>
      </c>
      <c r="BF163" s="76"/>
      <c r="BG163" s="76"/>
      <c r="BH163" s="76"/>
      <c r="BI163" s="76"/>
      <c r="BJ163" s="76"/>
    </row>
    <row r="164" spans="1:62" s="76" customFormat="1" ht="10.5" customHeight="1">
      <c r="A164" s="1"/>
      <c r="B164" s="7"/>
      <c r="C164" s="120"/>
      <c r="D164" s="428"/>
      <c r="E164" s="120"/>
      <c r="F164" s="428"/>
      <c r="G164" s="120"/>
      <c r="H164" s="38"/>
      <c r="I164" s="120"/>
      <c r="J164" s="38"/>
      <c r="K164" s="120"/>
      <c r="Q164" s="1"/>
      <c r="R164" s="486"/>
      <c r="S164" s="546"/>
      <c r="T164" s="556"/>
      <c r="U164" s="546"/>
      <c r="V164" s="556"/>
      <c r="W164" s="546"/>
      <c r="X164" s="556"/>
      <c r="Y164" s="546"/>
      <c r="Z164" s="556"/>
      <c r="AA164" s="546"/>
      <c r="AC164" s="251"/>
      <c r="AD164" s="263"/>
      <c r="AE164" s="266"/>
      <c r="AF164" s="266"/>
      <c r="AG164" s="151"/>
      <c r="AH164" s="151"/>
      <c r="AJ164" s="124"/>
      <c r="AK164" s="84"/>
      <c r="AL164" s="84"/>
      <c r="AM164" s="84"/>
      <c r="AN164" s="84"/>
      <c r="AO164" s="84"/>
      <c r="AP164" s="84"/>
      <c r="AQ164" s="1"/>
      <c r="AV164" s="1"/>
      <c r="AW164" s="1"/>
      <c r="AX164" s="1"/>
      <c r="AY164" s="84"/>
      <c r="AZ164" s="124"/>
      <c r="BA164" s="84"/>
      <c r="BB164" s="84"/>
      <c r="BC164" s="84"/>
      <c r="BD164" s="84"/>
      <c r="BE164" s="84"/>
      <c r="BF164" s="1"/>
      <c r="BG164" s="1"/>
      <c r="BH164" s="1"/>
      <c r="BI164" s="1"/>
      <c r="BJ164" s="1"/>
    </row>
    <row r="165" spans="1:62" ht="15" customHeight="1">
      <c r="A165" s="1" t="s">
        <v>477</v>
      </c>
      <c r="B165" s="7">
        <f>+Tables!B103+Tables!B134</f>
        <v>0</v>
      </c>
      <c r="C165" s="120">
        <f>+GETPIVOTDATA("Sum of New-HS % of Total",'Pivot-HS Student % of Undergrad'!$A$3,"State","AL","Category",7,"Category2","Two-Year")</f>
        <v>0</v>
      </c>
      <c r="D165" s="428">
        <f>+Tables!C103+Tables!C134</f>
        <v>12510.366666666665</v>
      </c>
      <c r="E165" s="120">
        <f>+GETPIVOTDATA("Sum of New-HS % of Total",'Pivot-HS Student % of Undergrad'!$A$3,"State","AL","Category",8,"Category2","Two-Year")</f>
        <v>0</v>
      </c>
      <c r="F165" s="428">
        <f>+Tables!D103+Tables!D134</f>
        <v>35622.333333333336</v>
      </c>
      <c r="G165" s="120">
        <f>+GETPIVOTDATA("Sum of New-HS % of Total",'Pivot-HS Student % of Undergrad'!$A$3,"State","AL","Category",9,"Category2","Two-Year")</f>
        <v>0</v>
      </c>
      <c r="H165" s="428">
        <f>+Tables!E103+Tables!E134</f>
        <v>14533.866666666669</v>
      </c>
      <c r="I165" s="120">
        <f>+GETPIVOTDATA("Sum of New-HS % of Total",'Pivot-HS Student % of Undergrad'!$A$3,"State","AL","Category",10,"Category2","Two-Year")</f>
        <v>0</v>
      </c>
      <c r="J165" s="428">
        <f>+Tables!F103+Tables!F134</f>
        <v>62666.566666666666</v>
      </c>
      <c r="K165" s="120">
        <f>+GETPIVOTDATA("Sum of New-HS % of Total",'Pivot-HS Student % of Undergrad'!$A$3,"State","AL","Category2","Group2")</f>
        <v>0</v>
      </c>
      <c r="Q165" s="1" t="s">
        <v>477</v>
      </c>
      <c r="R165" s="486">
        <f>+GETPIVOTDATA("Sum of Old-HS % of Total",'Pivot-HS Student % of Undergrad'!$A$3,"State","AL","Category",7,"Category2","Two-Year")</f>
        <v>0</v>
      </c>
      <c r="S165" s="546" t="e">
        <f>+'Pivot-HS Student % of Undergrad'!AD12*100</f>
        <v>#VALUE!</v>
      </c>
      <c r="T165" s="556">
        <f>+GETPIVOTDATA("Sum of Old-HS % of Total",'Pivot-HS Student % of Undergrad'!$A$3,"State","AL","Category",8,"Category2","Two-Year")</f>
        <v>0</v>
      </c>
      <c r="U165" s="546" t="e">
        <f>+'Pivot-HS Student % of Undergrad'!AE12*100</f>
        <v>#VALUE!</v>
      </c>
      <c r="V165" s="556">
        <f>+GETPIVOTDATA("Sum of Old-HS % of Total",'Pivot-HS Student % of Undergrad'!$A$3,"State","AL","Category",9,"Category2","Two-Year")</f>
        <v>0</v>
      </c>
      <c r="W165" s="546" t="e">
        <f>+'Pivot-HS Student % of Undergrad'!AF12*100</f>
        <v>#VALUE!</v>
      </c>
      <c r="X165" s="556">
        <f>+GETPIVOTDATA("Sum of Old-HS % of Total",'Pivot-HS Student % of Undergrad'!$A$3,"State","AL","Category",10,"Category2","Two-Year")</f>
        <v>0</v>
      </c>
      <c r="Y165" s="546" t="e">
        <f>+'Pivot-HS Student % of Undergrad'!AG12*100</f>
        <v>#VALUE!</v>
      </c>
      <c r="Z165" s="556">
        <f>+GETPIVOTDATA("Sum of Old-HS % of Total",'Pivot-HS Student % of Undergrad'!$A$3,"State","AL","Category2","Two-Year")</f>
        <v>0</v>
      </c>
      <c r="AA165" s="546" t="e">
        <f>+'Pivot-HS Student % of Undergrad'!AH12*100</f>
        <v>#VALUE!</v>
      </c>
      <c r="AC165" s="251" t="s">
        <v>477</v>
      </c>
      <c r="AD165" s="263">
        <f>+Tables!V103+Tables!AD134</f>
        <v>0</v>
      </c>
      <c r="AE165" s="263">
        <f>+Tables!W103+Tables!AE134</f>
        <v>11777.233333333334</v>
      </c>
      <c r="AF165" s="263">
        <f>+Tables!X103+Tables!AF134</f>
        <v>34869.76666666667</v>
      </c>
      <c r="AG165" s="263">
        <f>+Tables!Y103+Tables!AG134</f>
        <v>13943.666666666666</v>
      </c>
      <c r="AH165" s="264">
        <f>+Tables!Z103+Tables!AH134</f>
        <v>60590.666666666664</v>
      </c>
      <c r="AJ165" s="124" t="s">
        <v>477</v>
      </c>
      <c r="AK165" s="84">
        <f>+B165</f>
        <v>0</v>
      </c>
      <c r="AL165" s="84">
        <f>+D165</f>
        <v>12510.366666666665</v>
      </c>
      <c r="AM165" s="84">
        <f>+F165</f>
        <v>35622.333333333336</v>
      </c>
      <c r="AN165" s="84">
        <f>+H165</f>
        <v>14533.866666666669</v>
      </c>
      <c r="AO165" s="84"/>
      <c r="AP165" s="84">
        <f>+J165</f>
        <v>62666.566666666666</v>
      </c>
      <c r="AY165" s="124" t="s">
        <v>477</v>
      </c>
      <c r="AZ165" s="84">
        <f>+Tables!V103+Tables!AD134</f>
        <v>0</v>
      </c>
      <c r="BA165" s="84">
        <f>+Tables!W103+Tables!AE134</f>
        <v>11777.233333333334</v>
      </c>
      <c r="BB165" s="84">
        <f>+Tables!X103+Tables!AF134</f>
        <v>34869.76666666667</v>
      </c>
      <c r="BC165" s="84">
        <f>+Tables!Y103+Tables!AG134</f>
        <v>13943.666666666666</v>
      </c>
      <c r="BD165" s="124"/>
      <c r="BE165" s="84">
        <f>+Tables!Z103+Tables!AH134</f>
        <v>60590.666666666664</v>
      </c>
    </row>
    <row r="166" spans="1:62" ht="15" customHeight="1">
      <c r="A166" s="1" t="s">
        <v>478</v>
      </c>
      <c r="B166" s="33">
        <f>+Tables!B104+Tables!B135</f>
        <v>0</v>
      </c>
      <c r="C166" s="120">
        <f>+GETPIVOTDATA("Sum of New-HS % of Total",'Pivot-HS Student % of Undergrad'!$A$3,"State","AR","Category",7,"Category2","Two-Year")</f>
        <v>0</v>
      </c>
      <c r="D166" s="428">
        <f>+Tables!C104+Tables!C135</f>
        <v>6341.166666666667</v>
      </c>
      <c r="E166" s="120">
        <f>+GETPIVOTDATA("Sum of New-HS % of Total",'Pivot-HS Student % of Undergrad'!$A$3,"State","AR","Category",8,"Category2","Two-Year")</f>
        <v>1.5901385128919494E-2</v>
      </c>
      <c r="F166" s="428">
        <f>+Tables!D104+Tables!D135</f>
        <v>7718.1666666666661</v>
      </c>
      <c r="G166" s="120">
        <f>+GETPIVOTDATA("Sum of New-HS % of Total",'Pivot-HS Student % of Undergrad'!$A$3,"State","AR","Category",9,"Category2","Two-Year")</f>
        <v>5.5790451100218102E-2</v>
      </c>
      <c r="H166" s="428">
        <f>+Tables!E104+Tables!E135</f>
        <v>22681.599999999999</v>
      </c>
      <c r="I166" s="120">
        <f>+GETPIVOTDATA("Sum of New-HS % of Total",'Pivot-HS Student % of Undergrad'!$A$3,"State","AR","Category",10,"Category2","Two-Year")</f>
        <v>7.7218244450714818E-2</v>
      </c>
      <c r="J166" s="428">
        <f>+Tables!F104+Tables!F135</f>
        <v>36740.933333333334</v>
      </c>
      <c r="K166" s="120">
        <f>+GETPIVOTDATA("Sum of New-HS % of Total",'Pivot-HS Student % of Undergrad'!$A$3,"State","AR","Category2","Group2")</f>
        <v>6.2134150103245425E-2</v>
      </c>
      <c r="Q166" s="4" t="s">
        <v>478</v>
      </c>
      <c r="R166" s="486">
        <f>+GETPIVOTDATA("Sum of Old-HS % of Total",'Pivot-HS Student % of Undergrad'!$A$3,"State","AR","Category",7,"Category2","Two-Year")</f>
        <v>0</v>
      </c>
      <c r="S166" s="547" t="e">
        <f>+'Pivot-HS Student % of Undergrad'!AD19*100</f>
        <v>#VALUE!</v>
      </c>
      <c r="T166" s="556">
        <f>+GETPIVOTDATA("Sum of Old-HS % of Total",'Pivot-HS Student % of Undergrad'!$A$3,"State","AR","Category",8,"Category2","Two-Year")</f>
        <v>1.7320444543570384E-2</v>
      </c>
      <c r="U166" s="546">
        <f>+'Pivot-HS Student % of Undergrad'!AE19*100</f>
        <v>-0.14190594146508903</v>
      </c>
      <c r="V166" s="556">
        <f>+GETPIVOTDATA("Sum of Old-HS % of Total",'Pivot-HS Student % of Undergrad'!$A$3,"State","AR","Category",9,"Category2","Two-Year")</f>
        <v>5.9819800902904376E-2</v>
      </c>
      <c r="W166" s="546">
        <f>+'Pivot-HS Student % of Undergrad'!AF19*100</f>
        <v>-0.40293498026862729</v>
      </c>
      <c r="X166" s="556">
        <f>+GETPIVOTDATA("Sum of Old-HS % of Total",'Pivot-HS Student % of Undergrad'!$A$3,"State","AR","Category",10,"Category2","Two-Year")</f>
        <v>7.720497194287966E-2</v>
      </c>
      <c r="Y166" s="560">
        <f>+'Pivot-HS Student % of Undergrad'!AG19*100</f>
        <v>1.3272507835157543E-3</v>
      </c>
      <c r="Z166" s="556">
        <f>+GETPIVOTDATA("Sum of Old-HS % of Total",'Pivot-HS Student % of Undergrad'!$A$3,"State","AR","Category2","Two-Year")</f>
        <v>6.3055189104724671E-2</v>
      </c>
      <c r="AA166" s="546">
        <f>+'Pivot-HS Student % of Undergrad'!AH19*100</f>
        <v>-9.2103900147924578E-2</v>
      </c>
      <c r="AC166" s="251" t="s">
        <v>478</v>
      </c>
      <c r="AD166" s="266">
        <f>+Tables!V104+Tables!AD135</f>
        <v>0</v>
      </c>
      <c r="AE166" s="266">
        <f>+Tables!W104+Tables!AE135</f>
        <v>6127.6333333333332</v>
      </c>
      <c r="AF166" s="266">
        <f>+Tables!X104+Tables!AF135</f>
        <v>6984.8666666666668</v>
      </c>
      <c r="AG166" s="266">
        <f>+Tables!Y104+Tables!AG135</f>
        <v>21402.766666666666</v>
      </c>
      <c r="AH166" s="264">
        <f>+Tables!Z104+Tables!AH135</f>
        <v>34515.266666666663</v>
      </c>
      <c r="AJ166" s="124" t="s">
        <v>478</v>
      </c>
      <c r="AK166" s="84">
        <f>+B166</f>
        <v>0</v>
      </c>
      <c r="AL166" s="84">
        <f>+D166</f>
        <v>6341.166666666667</v>
      </c>
      <c r="AM166" s="84">
        <f>+F166</f>
        <v>7718.1666666666661</v>
      </c>
      <c r="AN166" s="84">
        <f>+H166</f>
        <v>22681.599999999999</v>
      </c>
      <c r="AO166" s="84"/>
      <c r="AP166" s="84">
        <f>+J166</f>
        <v>36740.933333333334</v>
      </c>
      <c r="AY166" s="124" t="s">
        <v>478</v>
      </c>
      <c r="AZ166" s="84">
        <f>+Tables!V104+Tables!AD135</f>
        <v>0</v>
      </c>
      <c r="BA166" s="84">
        <f>+Tables!W104+Tables!AE135</f>
        <v>6127.6333333333332</v>
      </c>
      <c r="BB166" s="84">
        <f>+Tables!X104+Tables!AF135</f>
        <v>6984.8666666666668</v>
      </c>
      <c r="BC166" s="84">
        <f>+Tables!Y104+Tables!AG135</f>
        <v>21402.766666666666</v>
      </c>
      <c r="BD166" s="124"/>
      <c r="BE166" s="84">
        <f>+Tables!Z104+Tables!AH135</f>
        <v>34515.266666666663</v>
      </c>
    </row>
    <row r="167" spans="1:62" ht="15" customHeight="1">
      <c r="A167" s="1" t="s">
        <v>515</v>
      </c>
      <c r="B167" s="33">
        <f>+Tables!B105+Tables!B136</f>
        <v>0</v>
      </c>
      <c r="C167" s="120">
        <f>+GETPIVOTDATA("Sum of New-HS % of Total",'Pivot-HS Student % of Undergrad'!$A$3,"State","DE","Category",7,"Category2","Two-Year")</f>
        <v>0</v>
      </c>
      <c r="D167" s="428">
        <f>+Tables!C105+Tables!C136</f>
        <v>0</v>
      </c>
      <c r="E167" s="120">
        <f>+GETPIVOTDATA("Sum of New-HS % of Total",'Pivot-HS Student % of Undergrad'!$A$3,"State","DE","Category",8,"Category2","Two-Year")</f>
        <v>0</v>
      </c>
      <c r="F167" s="428">
        <f>+Tables!D105+Tables!D136</f>
        <v>7478.9</v>
      </c>
      <c r="G167" s="120">
        <f>+GETPIVOTDATA("Sum of New-HS % of Total",'Pivot-HS Student % of Undergrad'!$A$3,"State","DE","Category",9,"Category2","Two-Year")</f>
        <v>0</v>
      </c>
      <c r="H167" s="428">
        <f>+Tables!E105+Tables!E136</f>
        <v>2163.6666666666665</v>
      </c>
      <c r="I167" s="120">
        <f>+GETPIVOTDATA("Sum of New-HS % of Total",'Pivot-HS Student % of Undergrad'!$A$3,"State","DE","Category",10,"Category2","Two-Year")</f>
        <v>0</v>
      </c>
      <c r="J167" s="428">
        <f>+Tables!F105+Tables!F136</f>
        <v>9642.5666666666657</v>
      </c>
      <c r="K167" s="120">
        <f>+GETPIVOTDATA("Sum of New-HS % of Total",'Pivot-HS Student % of Undergrad'!$A$3,"State","DE","Category2","Group2")</f>
        <v>0</v>
      </c>
      <c r="Q167" s="1" t="s">
        <v>515</v>
      </c>
      <c r="R167" s="486">
        <f>+GETPIVOTDATA("Sum of Old-HS % of Total",'Pivot-HS Student % of Undergrad'!$A$3,"State","DE","Category",7,"Category2","Two-Year")</f>
        <v>0</v>
      </c>
      <c r="S167" s="546" t="e">
        <f>+'Pivot-HS Student % of Undergrad'!AD26*100</f>
        <v>#VALUE!</v>
      </c>
      <c r="T167" s="556">
        <f>+GETPIVOTDATA("Sum of Old-HS % of Total",'Pivot-HS Student % of Undergrad'!$A$3,"State","DE","Category",8,"Category2","Two-Year")</f>
        <v>0</v>
      </c>
      <c r="U167" s="546" t="e">
        <f>+'Pivot-HS Student % of Undergrad'!AE26*100</f>
        <v>#VALUE!</v>
      </c>
      <c r="V167" s="556">
        <f>+GETPIVOTDATA("Sum of Old-HS % of Total",'Pivot-HS Student % of Undergrad'!$A$3,"State","DE","Category",9,"Category2","Two-Year")</f>
        <v>0</v>
      </c>
      <c r="W167" s="546" t="e">
        <f>+'Pivot-HS Student % of Undergrad'!AF26*100</f>
        <v>#VALUE!</v>
      </c>
      <c r="X167" s="556">
        <f>+GETPIVOTDATA("Sum of Old-HS % of Total",'Pivot-HS Student % of Undergrad'!$A$3,"State","DE","Category",10,"Category2","Two-Year")</f>
        <v>0</v>
      </c>
      <c r="Y167" s="546" t="e">
        <f>+'Pivot-HS Student % of Undergrad'!AG26*100</f>
        <v>#VALUE!</v>
      </c>
      <c r="Z167" s="556">
        <f>+GETPIVOTDATA("Sum of Old-HS % of Total",'Pivot-HS Student % of Undergrad'!$A$3,"State","DE","Category2","Two-Year")</f>
        <v>0</v>
      </c>
      <c r="AA167" s="546" t="e">
        <f>+'Pivot-HS Student % of Undergrad'!AH26*100</f>
        <v>#VALUE!</v>
      </c>
      <c r="AC167" s="251" t="s">
        <v>515</v>
      </c>
      <c r="AD167" s="266">
        <f>+Tables!V105+Tables!AD136</f>
        <v>0</v>
      </c>
      <c r="AE167" s="266">
        <f>+Tables!W105+Tables!AE136</f>
        <v>0</v>
      </c>
      <c r="AF167" s="266">
        <f>+Tables!X105+Tables!AF136</f>
        <v>7718.1</v>
      </c>
      <c r="AG167" s="266">
        <f>+Tables!Y105+Tables!AG136</f>
        <v>2103.6</v>
      </c>
      <c r="AH167" s="264">
        <f>+Tables!Z105+Tables!AH136</f>
        <v>9821.7000000000007</v>
      </c>
      <c r="AJ167" s="124" t="s">
        <v>515</v>
      </c>
      <c r="AK167" s="84">
        <f>+B167</f>
        <v>0</v>
      </c>
      <c r="AL167" s="84">
        <f>+D167</f>
        <v>0</v>
      </c>
      <c r="AM167" s="84">
        <f>+F167</f>
        <v>7478.9</v>
      </c>
      <c r="AN167" s="84">
        <f>+H167</f>
        <v>2163.6666666666665</v>
      </c>
      <c r="AO167" s="84"/>
      <c r="AP167" s="84">
        <f>+J167</f>
        <v>9642.5666666666657</v>
      </c>
      <c r="AY167" s="124" t="s">
        <v>515</v>
      </c>
      <c r="AZ167" s="84">
        <f>+Tables!V105+Tables!AD136</f>
        <v>0</v>
      </c>
      <c r="BA167" s="84">
        <f>+Tables!W105+Tables!AE136</f>
        <v>0</v>
      </c>
      <c r="BB167" s="84">
        <f>+Tables!X105+Tables!AF136</f>
        <v>7718.1</v>
      </c>
      <c r="BC167" s="84">
        <f>+Tables!Y105+Tables!AG136</f>
        <v>2103.6</v>
      </c>
      <c r="BD167" s="124"/>
      <c r="BE167" s="84">
        <f>+Tables!Z105+Tables!AH136</f>
        <v>9821.7000000000007</v>
      </c>
    </row>
    <row r="168" spans="1:62" ht="15" customHeight="1">
      <c r="A168" s="1" t="s">
        <v>479</v>
      </c>
      <c r="B168" s="33">
        <f>+Tables!B106+Tables!B137</f>
        <v>80019.52888888889</v>
      </c>
      <c r="C168" s="120">
        <f>+GETPIVOTDATA("Sum of New-HS % of Total",'Pivot-HS Student % of Undergrad'!$A$3,"State","FL","Category",7,"Category2","Two-Year")</f>
        <v>4.7307854274177318E-3</v>
      </c>
      <c r="D168" s="428">
        <f>+Tables!C106+Tables!C137</f>
        <v>212896.36444444442</v>
      </c>
      <c r="E168" s="120">
        <f>+GETPIVOTDATA("Sum of New-HS % of Total",'Pivot-HS Student % of Undergrad'!$A$3,"State","FL","Category",8,"Category2","Two-Year")</f>
        <v>1.5518451047781615E-2</v>
      </c>
      <c r="F168" s="428">
        <f>+Tables!D106+Tables!D137</f>
        <v>27672.370000000003</v>
      </c>
      <c r="G168" s="120">
        <f>+GETPIVOTDATA("Sum of New-HS % of Total",'Pivot-HS Student % of Undergrad'!$A$3,"State","FL","Category",9,"Category2","Two-Year")</f>
        <v>4.608453858097928E-2</v>
      </c>
      <c r="H168" s="428">
        <f>+Tables!E106+Tables!E137</f>
        <v>1778.9911111111112</v>
      </c>
      <c r="I168" s="120">
        <f>+GETPIVOTDATA("Sum of New-HS % of Total",'Pivot-HS Student % of Undergrad'!$A$3,"State","FL","Category",10,"Category2","Two-Year")</f>
        <v>2.3788800708956108E-2</v>
      </c>
      <c r="J168" s="428">
        <f>+Tables!F106+Tables!F137</f>
        <v>322367.25444444444</v>
      </c>
      <c r="K168" s="120">
        <f>+GETPIVOTDATA("Sum of New-HS % of Total",'Pivot-HS Student % of Undergrad'!$A$3,"State","FL","Category2","Group2")</f>
        <v>1.5665108939997986E-2</v>
      </c>
      <c r="Q168" s="1" t="s">
        <v>479</v>
      </c>
      <c r="R168" s="486">
        <f>+GETPIVOTDATA("Sum of Old-HS % of Total",'Pivot-HS Student % of Undergrad'!$A$3,"State","FL","Category",7,"Category2","Two-Year")</f>
        <v>0</v>
      </c>
      <c r="S168" s="546" t="e">
        <f>+'Pivot-HS Student % of Undergrad'!AD33*100</f>
        <v>#VALUE!</v>
      </c>
      <c r="T168" s="38">
        <f>+GETPIVOTDATA("Sum of Old-HS % of Total",'Pivot-HS Student % of Undergrad'!$A$3,"State","FL","Category",8,"Category2","Two-Year")</f>
        <v>0</v>
      </c>
      <c r="U168" s="546" t="e">
        <f>+'Pivot-HS Student % of Undergrad'!AE33*100</f>
        <v>#VALUE!</v>
      </c>
      <c r="V168" s="556">
        <f>+GETPIVOTDATA("Sum of Old-HS % of Total",'Pivot-HS Student % of Undergrad'!$A$3,"State","FL","Category",9,"Category2","Two-Year")</f>
        <v>0</v>
      </c>
      <c r="W168" s="546" t="e">
        <f>+'Pivot-HS Student % of Undergrad'!AF33*100</f>
        <v>#VALUE!</v>
      </c>
      <c r="X168" s="556">
        <f>+GETPIVOTDATA("Sum of Old-HS % of Total",'Pivot-HS Student % of Undergrad'!$A$3,"State","FL","Category",10,"Category2","Two-Year")</f>
        <v>0</v>
      </c>
      <c r="Y168" s="546" t="e">
        <f>+'Pivot-HS Student % of Undergrad'!AG33*100</f>
        <v>#VALUE!</v>
      </c>
      <c r="Z168" s="556">
        <f>+GETPIVOTDATA("Sum of Old-HS % of Total",'Pivot-HS Student % of Undergrad'!$A$3,"State","FL","Category2","Two-Year")</f>
        <v>0</v>
      </c>
      <c r="AA168" s="546" t="e">
        <f>+'Pivot-HS Student % of Undergrad'!AH33*100</f>
        <v>#VALUE!</v>
      </c>
      <c r="AC168" s="251" t="s">
        <v>479</v>
      </c>
      <c r="AD168" s="266">
        <f>+Tables!V106+Tables!AD137</f>
        <v>75931.951111111106</v>
      </c>
      <c r="AE168" s="266">
        <f>+Tables!W106+Tables!AE137</f>
        <v>197244.55444444442</v>
      </c>
      <c r="AF168" s="266">
        <f>+Tables!X106+Tables!AF137</f>
        <v>26129.20888888889</v>
      </c>
      <c r="AG168" s="266">
        <f>+Tables!Y106+Tables!AG137</f>
        <v>1713.7711111111112</v>
      </c>
      <c r="AH168" s="264">
        <f>+Tables!Z106+Tables!AH137</f>
        <v>301019.4855555555</v>
      </c>
      <c r="AJ168" s="124" t="s">
        <v>479</v>
      </c>
      <c r="AK168" s="84">
        <f>+B168</f>
        <v>80019.52888888889</v>
      </c>
      <c r="AL168" s="84">
        <f>+D168</f>
        <v>212896.36444444442</v>
      </c>
      <c r="AM168" s="84">
        <f>+F168</f>
        <v>27672.370000000003</v>
      </c>
      <c r="AN168" s="84">
        <f>+H168</f>
        <v>1778.9911111111112</v>
      </c>
      <c r="AO168" s="84"/>
      <c r="AP168" s="84">
        <f>+J168</f>
        <v>322367.25444444444</v>
      </c>
      <c r="AY168" s="124" t="s">
        <v>479</v>
      </c>
      <c r="AZ168" s="84">
        <f>+Tables!V106+Tables!AD137</f>
        <v>75931.951111111106</v>
      </c>
      <c r="BA168" s="84">
        <f>+Tables!W106+Tables!AE137</f>
        <v>197244.55444444442</v>
      </c>
      <c r="BB168" s="84">
        <f>+Tables!X106+Tables!AF137</f>
        <v>26129.20888888889</v>
      </c>
      <c r="BC168" s="84">
        <f>+Tables!Y106+Tables!AG137</f>
        <v>1713.7711111111112</v>
      </c>
      <c r="BD168" s="124"/>
      <c r="BE168" s="84">
        <f>+Tables!Z106+Tables!AH137</f>
        <v>301019.4855555555</v>
      </c>
    </row>
    <row r="169" spans="1:62" ht="15" customHeight="1">
      <c r="B169" s="33"/>
      <c r="C169" s="120"/>
      <c r="D169" s="428"/>
      <c r="E169" s="120"/>
      <c r="F169" s="428"/>
      <c r="G169" s="120"/>
      <c r="H169" s="428"/>
      <c r="I169" s="120"/>
      <c r="J169" s="428"/>
      <c r="K169" s="120"/>
      <c r="R169" s="486"/>
      <c r="S169" s="546"/>
      <c r="T169" s="38"/>
      <c r="U169" s="546"/>
      <c r="V169" s="556"/>
      <c r="W169" s="546"/>
      <c r="X169" s="556"/>
      <c r="Y169" s="546"/>
      <c r="Z169" s="556"/>
      <c r="AA169" s="546"/>
      <c r="AC169" s="251"/>
      <c r="AD169" s="266"/>
      <c r="AE169" s="266"/>
      <c r="AF169" s="266"/>
      <c r="AG169" s="266"/>
      <c r="AH169" s="264"/>
      <c r="AJ169" s="124"/>
      <c r="AK169" s="84"/>
      <c r="AL169" s="84"/>
      <c r="AM169" s="84"/>
      <c r="AN169" s="84"/>
      <c r="AO169" s="84"/>
      <c r="AP169" s="84"/>
      <c r="AY169" s="124"/>
      <c r="AZ169" s="84"/>
      <c r="BA169" s="84"/>
      <c r="BB169" s="84"/>
      <c r="BC169" s="84"/>
      <c r="BD169" s="124"/>
      <c r="BE169" s="84"/>
    </row>
    <row r="170" spans="1:62" ht="15" customHeight="1">
      <c r="A170" s="1" t="s">
        <v>480</v>
      </c>
      <c r="B170" s="33">
        <f>+Tables!B108+Tables!B139</f>
        <v>3503.7333333333331</v>
      </c>
      <c r="C170" s="120">
        <f>+GETPIVOTDATA("Sum of New-HS % of Total",'Pivot-HS Student % of Undergrad'!$A$3,"State","GA","Category",7,"Category2","Two-Year")</f>
        <v>8.6193774259837128E-3</v>
      </c>
      <c r="D170" s="428">
        <f>+Tables!C108+Tables!C139</f>
        <v>16582.099999999999</v>
      </c>
      <c r="E170" s="120">
        <f>+GETPIVOTDATA("Sum of New-HS % of Total",'Pivot-HS Student % of Undergrad'!$A$3,"State","GA","Category",8,"Category2","Two-Year")</f>
        <v>1.8755163700616931E-2</v>
      </c>
      <c r="F170" s="428">
        <f>+Tables!D108+Tables!D139</f>
        <v>26468.216666666671</v>
      </c>
      <c r="G170" s="120">
        <f>+GETPIVOTDATA("Sum of New-HS % of Total",'Pivot-HS Student % of Undergrad'!$A$3,"State","GA","Category",9,"Category2","Two-Year")</f>
        <v>1.4579750682107408E-2</v>
      </c>
      <c r="H170" s="428">
        <f>+Tables!E108+Tables!E139</f>
        <v>5904.4333333333334</v>
      </c>
      <c r="I170" s="120">
        <f>+GETPIVOTDATA("Sum of New-HS % of Total",'Pivot-HS Student % of Undergrad'!$A$3,"State","GA","Category",10,"Category2","Two-Year")</f>
        <v>8.1464210508487966E-3</v>
      </c>
      <c r="J170" s="428">
        <f>+Tables!F108+Tables!F139</f>
        <v>52458.483333333337</v>
      </c>
      <c r="K170" s="120">
        <f>+GETPIVOTDATA("Sum of New-HS % of Total",'Pivot-HS Student % of Undergrad'!$A$3,"State","GA","Category2","Group2")</f>
        <v>1.4777400159936E-2</v>
      </c>
      <c r="Q170" s="1" t="s">
        <v>480</v>
      </c>
      <c r="R170" s="486">
        <f>+GETPIVOTDATA("Sum of Old-HS % of Total",'Pivot-HS Student % of Undergrad'!$A$3,"State","GA","Category",7,"Category2","Two-Year")</f>
        <v>0</v>
      </c>
      <c r="S170" s="546" t="e">
        <f>+'Pivot-HS Student % of Undergrad'!AD40*100</f>
        <v>#VALUE!</v>
      </c>
      <c r="T170" s="556">
        <f>+GETPIVOTDATA("Sum of Old-HS % of Total",'Pivot-HS Student % of Undergrad'!$A$3,"State","GA","Category",8,"Category2","Two-Year")</f>
        <v>0</v>
      </c>
      <c r="U170" s="546" t="e">
        <f>+'Pivot-HS Student % of Undergrad'!AE40*100</f>
        <v>#VALUE!</v>
      </c>
      <c r="V170" s="556">
        <f>+GETPIVOTDATA("Sum of Old-HS % of Total",'Pivot-HS Student % of Undergrad'!$A$3,"State","GA","Category",9,"Category2","Two-Year")</f>
        <v>0</v>
      </c>
      <c r="W170" s="546" t="e">
        <f>+'Pivot-HS Student % of Undergrad'!AF40*100</f>
        <v>#VALUE!</v>
      </c>
      <c r="X170" s="556">
        <f>+GETPIVOTDATA("Sum of Old-HS % of Total",'Pivot-HS Student % of Undergrad'!$A$3,"State","GA","Category",10,"Category2","Two-Year")</f>
        <v>0</v>
      </c>
      <c r="Y170" s="546" t="e">
        <f>+'Pivot-HS Student % of Undergrad'!AG40*100</f>
        <v>#VALUE!</v>
      </c>
      <c r="Z170" s="556">
        <f>+GETPIVOTDATA("Sum of Old-HS % of Total",'Pivot-HS Student % of Undergrad'!$A$3,"State","GA","Category2","Two-Year")</f>
        <v>0</v>
      </c>
      <c r="AA170" s="546" t="e">
        <f>+'Pivot-HS Student % of Undergrad'!AH40*100</f>
        <v>#VALUE!</v>
      </c>
      <c r="AC170" s="251" t="s">
        <v>480</v>
      </c>
      <c r="AD170" s="266">
        <f>+Tables!V108+Tables!AD139</f>
        <v>3178.1666666666665</v>
      </c>
      <c r="AE170" s="266">
        <f>+Tables!W108+Tables!AE139</f>
        <v>16144.933333333332</v>
      </c>
      <c r="AF170" s="266">
        <f>+Tables!X108+Tables!AF139</f>
        <v>24952.483333333334</v>
      </c>
      <c r="AG170" s="266">
        <f>+Tables!Y108+Tables!AG139</f>
        <v>5097.8333333333339</v>
      </c>
      <c r="AH170" s="264">
        <f>+Tables!Z108+Tables!AH139</f>
        <v>49373.416666666664</v>
      </c>
      <c r="AJ170" s="124" t="s">
        <v>480</v>
      </c>
      <c r="AK170" s="84">
        <f>+B170</f>
        <v>3503.7333333333331</v>
      </c>
      <c r="AL170" s="84">
        <f>+D170</f>
        <v>16582.099999999999</v>
      </c>
      <c r="AM170" s="84">
        <f>+F170</f>
        <v>26468.216666666671</v>
      </c>
      <c r="AN170" s="84">
        <f>+H170</f>
        <v>5904.4333333333334</v>
      </c>
      <c r="AO170" s="84"/>
      <c r="AP170" s="84">
        <f>+J170</f>
        <v>52458.483333333337</v>
      </c>
      <c r="AY170" s="124" t="s">
        <v>480</v>
      </c>
      <c r="AZ170" s="84">
        <f>+Tables!V108+Tables!AD139</f>
        <v>3178.1666666666665</v>
      </c>
      <c r="BA170" s="84">
        <f>+Tables!W108+Tables!AE139</f>
        <v>16144.933333333332</v>
      </c>
      <c r="BB170" s="84">
        <f>+Tables!X108+Tables!AF139</f>
        <v>24952.483333333334</v>
      </c>
      <c r="BC170" s="84">
        <f>+Tables!Y108+Tables!AG139</f>
        <v>5097.8333333333339</v>
      </c>
      <c r="BD170" s="124"/>
      <c r="BE170" s="84">
        <f>+Tables!Z108+Tables!AH139</f>
        <v>49373.416666666664</v>
      </c>
    </row>
    <row r="171" spans="1:62" ht="15" customHeight="1">
      <c r="A171" s="1" t="s">
        <v>481</v>
      </c>
      <c r="B171" s="33">
        <f>+Tables!B109+Tables!B140</f>
        <v>0</v>
      </c>
      <c r="C171" s="120">
        <f>+GETPIVOTDATA("Sum of New-HS % of Total",'Pivot-HS Student % of Undergrad'!$A$3,"State","KY","Category",7,"Category2","Two-Year")</f>
        <v>0</v>
      </c>
      <c r="D171" s="428">
        <f>+Tables!C109+Tables!C140</f>
        <v>15828.433333333334</v>
      </c>
      <c r="E171" s="120">
        <f>+GETPIVOTDATA("Sum of New-HS % of Total",'Pivot-HS Student % of Undergrad'!$A$3,"State","KY","Category",8,"Category2","Two-Year")</f>
        <v>3.79022560666143E-2</v>
      </c>
      <c r="F171" s="428">
        <f>+Tables!D109+Tables!D140</f>
        <v>24056.033333333333</v>
      </c>
      <c r="G171" s="120">
        <f>+GETPIVOTDATA("Sum of New-HS % of Total",'Pivot-HS Student % of Undergrad'!$A$3,"State","KY","Category",9,"Category2","Two-Year")</f>
        <v>8.2285663610376328E-2</v>
      </c>
      <c r="H171" s="428">
        <f>+Tables!E109+Tables!E140</f>
        <v>4960</v>
      </c>
      <c r="I171" s="120">
        <f>+GETPIVOTDATA("Sum of New-HS % of Total",'Pivot-HS Student % of Undergrad'!$A$3,"State","KY","Category",10,"Category2","Two-Year")</f>
        <v>4.645161290322581E-2</v>
      </c>
      <c r="J171" s="428">
        <f>+Tables!F109+Tables!F140</f>
        <v>44844.466666666667</v>
      </c>
      <c r="K171" s="120">
        <f>+GETPIVOTDATA("Sum of New-HS % of Total",'Pivot-HS Student % of Undergrad'!$A$3,"State","KY","Category2","Group2")</f>
        <v>6.2656559635005132E-2</v>
      </c>
      <c r="Q171" s="1" t="s">
        <v>481</v>
      </c>
      <c r="R171" s="486">
        <f>+GETPIVOTDATA("Sum of Old-HS % of Total",'Pivot-HS Student % of Undergrad'!$A$3,"State","KY","Category",7,"Category2","Two-Year")</f>
        <v>0</v>
      </c>
      <c r="S171" s="547" t="e">
        <f>+'Pivot-HS Student % of Undergrad'!AD47*100</f>
        <v>#VALUE!</v>
      </c>
      <c r="T171" s="556">
        <f>+GETPIVOTDATA("Sum of Old-HS % of Total",'Pivot-HS Student % of Undergrad'!$A$3,"State","KY","Category",8,"Category2","Two-Year")</f>
        <v>4.6832245612420831E-2</v>
      </c>
      <c r="U171" s="546">
        <f>+'Pivot-HS Student % of Undergrad'!AE47*100</f>
        <v>-0.89299895458065315</v>
      </c>
      <c r="V171" s="556">
        <f>+GETPIVOTDATA("Sum of Old-HS % of Total",'Pivot-HS Student % of Undergrad'!$A$3,"State","KY","Category",9,"Category2","Two-Year")</f>
        <v>8.3195259184901491E-2</v>
      </c>
      <c r="W171" s="546">
        <f>-'Pivot-HS Student % of Undergrad'!AF47*100</f>
        <v>9.0959557452516271E-2</v>
      </c>
      <c r="X171" s="556">
        <f>+GETPIVOTDATA("Sum of Old-HS % of Total",'Pivot-HS Student % of Undergrad'!$A$3,"State","KY","Category",10,"Category2","Two-Year")</f>
        <v>5.0204960457123929E-2</v>
      </c>
      <c r="Y171" s="546">
        <f>+'Pivot-HS Student % of Undergrad'!AG47*100</f>
        <v>-0.37533475538981187</v>
      </c>
      <c r="Z171" s="556">
        <f>+GETPIVOTDATA("Sum of Old-HS % of Total",'Pivot-HS Student % of Undergrad'!$A$3,"State","KY","Category2","Two-Year")</f>
        <v>6.678391223010427E-2</v>
      </c>
      <c r="AA171" s="546">
        <f>+'Pivot-HS Student % of Undergrad'!AH47*100</f>
        <v>-0.41273525950991374</v>
      </c>
      <c r="AC171" s="251" t="s">
        <v>481</v>
      </c>
      <c r="AD171" s="266">
        <f>+Tables!V109+Tables!AD140</f>
        <v>0</v>
      </c>
      <c r="AE171" s="266">
        <f>+Tables!W109+Tables!AE140</f>
        <v>15215.3</v>
      </c>
      <c r="AF171" s="266">
        <f>+Tables!X109+Tables!AF140</f>
        <v>23377.133333333331</v>
      </c>
      <c r="AG171" s="266">
        <f>+Tables!Y109+Tables!AG140</f>
        <v>4830.2</v>
      </c>
      <c r="AH171" s="264">
        <f>+Tables!Z109+Tables!AH140</f>
        <v>43422.633333333331</v>
      </c>
      <c r="AJ171" s="124" t="s">
        <v>481</v>
      </c>
      <c r="AK171" s="84">
        <f>+B171</f>
        <v>0</v>
      </c>
      <c r="AL171" s="84">
        <f>+D171</f>
        <v>15828.433333333334</v>
      </c>
      <c r="AM171" s="84">
        <f>+F171</f>
        <v>24056.033333333333</v>
      </c>
      <c r="AN171" s="84">
        <f>+H171</f>
        <v>4960</v>
      </c>
      <c r="AO171" s="84"/>
      <c r="AP171" s="84">
        <f>+J171</f>
        <v>44844.466666666667</v>
      </c>
      <c r="AY171" s="124" t="s">
        <v>481</v>
      </c>
      <c r="AZ171" s="84">
        <f>+Tables!V109+Tables!AD140</f>
        <v>0</v>
      </c>
      <c r="BA171" s="84">
        <f>+Tables!W109+Tables!AE140</f>
        <v>15215.3</v>
      </c>
      <c r="BB171" s="84">
        <f>+Tables!X109+Tables!AF140</f>
        <v>23377.133333333331</v>
      </c>
      <c r="BC171" s="84">
        <f>+Tables!Y109+Tables!AG140</f>
        <v>4830.2</v>
      </c>
      <c r="BD171" s="124"/>
      <c r="BE171" s="84">
        <f>+Tables!Z109+Tables!AH140</f>
        <v>43422.633333333331</v>
      </c>
    </row>
    <row r="172" spans="1:62" ht="15" customHeight="1">
      <c r="A172" s="1" t="s">
        <v>482</v>
      </c>
      <c r="B172" s="33">
        <f>+Tables!B110+Tables!B141</f>
        <v>1937.5333333333333</v>
      </c>
      <c r="C172" s="120">
        <f>+GETPIVOTDATA("Sum of New-HS % of Total",'Pivot-HS Student % of Undergrad'!$A$3,"State","LA","Category",7,"Category2","Two-Year")</f>
        <v>8.1684616178646391E-2</v>
      </c>
      <c r="D172" s="428">
        <f>+Tables!C110+Tables!C141</f>
        <v>9691.4666666666672</v>
      </c>
      <c r="E172" s="120">
        <f>+GETPIVOTDATA("Sum of New-HS % of Total",'Pivot-HS Student % of Undergrad'!$A$3,"State","LA","Category",8,"Category2","Two-Year")</f>
        <v>5.372423850535179E-3</v>
      </c>
      <c r="F172" s="428">
        <f>+Tables!D110+Tables!D141</f>
        <v>10613</v>
      </c>
      <c r="G172" s="120">
        <f>+GETPIVOTDATA("Sum of New-HS % of Total",'Pivot-HS Student % of Undergrad'!$A$3,"State","LA","Category",9,"Category2","Two-Year")</f>
        <v>2.7692452652407426E-2</v>
      </c>
      <c r="H172" s="428">
        <f>+Tables!E110+Tables!E141</f>
        <v>6680.4</v>
      </c>
      <c r="I172" s="120">
        <f>+GETPIVOTDATA("Sum of New-HS % of Total",'Pivot-HS Student % of Undergrad'!$A$3,"State","LA","Category",10,"Category2","Two-Year")</f>
        <v>7.4516496018202497E-2</v>
      </c>
      <c r="J172" s="428">
        <f>+Tables!F110+Tables!F141</f>
        <v>28922.400000000001</v>
      </c>
      <c r="K172" s="120">
        <f>+GETPIVOTDATA("Sum of New-HS % of Total",'Pivot-HS Student % of Undergrad'!$A$3,"State","LA","Category2","Group2")</f>
        <v>3.4645580357554467E-2</v>
      </c>
      <c r="Q172" s="1" t="s">
        <v>482</v>
      </c>
      <c r="R172" s="486">
        <f>+GETPIVOTDATA("Sum of Old-HS % of Total",'Pivot-HS Student % of Undergrad'!$A$3,"State","LA","Category",7,"Category2","Two-Year")</f>
        <v>3.6813319948769428E-2</v>
      </c>
      <c r="S172" s="546">
        <f>+'Pivot-HS Student % of Undergrad'!AD54*100</f>
        <v>4.4871296229876965</v>
      </c>
      <c r="T172" s="556">
        <f>+GETPIVOTDATA("Sum of Old-HS % of Total",'Pivot-HS Student % of Undergrad'!$A$3,"State","LA","Category",8,"Category2","Two-Year")</f>
        <v>3.7994489863144971E-3</v>
      </c>
      <c r="U172" s="546">
        <f>+'Pivot-HS Student % of Undergrad'!AE54*100</f>
        <v>0.1572974864220682</v>
      </c>
      <c r="V172" s="556">
        <f>+GETPIVOTDATA("Sum of Old-HS % of Total",'Pivot-HS Student % of Undergrad'!$A$3,"State","LA","Category",9,"Category2","Two-Year")</f>
        <v>2.2324062333971103E-2</v>
      </c>
      <c r="W172" s="546">
        <f>+'Pivot-HS Student % of Undergrad'!AF54*100</f>
        <v>0.53683903184363235</v>
      </c>
      <c r="X172" s="556">
        <f>+GETPIVOTDATA("Sum of Old-HS % of Total",'Pivot-HS Student % of Undergrad'!$A$3,"State","LA","Category",10,"Category2","Two-Year")</f>
        <v>6.708614367842107E-2</v>
      </c>
      <c r="Y172" s="546">
        <f>+'Pivot-HS Student % of Undergrad'!AG54*100</f>
        <v>0.74303523397814264</v>
      </c>
      <c r="Z172" s="556">
        <f>+GETPIVOTDATA("Sum of Old-HS % of Total",'Pivot-HS Student % of Undergrad'!$A$3,"State","LA","Category2","Two-Year")</f>
        <v>2.7023349648524521E-2</v>
      </c>
      <c r="AA172" s="546">
        <f>+'Pivot-HS Student % of Undergrad'!AH54*100</f>
        <v>0.76222307090299468</v>
      </c>
      <c r="AC172" s="251" t="s">
        <v>482</v>
      </c>
      <c r="AD172" s="266">
        <f>+Tables!V110+Tables!AD141</f>
        <v>1925.9333333333334</v>
      </c>
      <c r="AE172" s="266">
        <f>+Tables!W110+Tables!AE141</f>
        <v>8904.7999999999993</v>
      </c>
      <c r="AF172" s="266">
        <f>+Tables!X110+Tables!AF141</f>
        <v>10226.633333333331</v>
      </c>
      <c r="AG172" s="266">
        <f>+Tables!Y110+Tables!AG141</f>
        <v>5890.9333333333325</v>
      </c>
      <c r="AH172" s="264">
        <f>+Tables!Z110+Tables!AH141</f>
        <v>26948.299999999996</v>
      </c>
      <c r="AJ172" s="124" t="s">
        <v>482</v>
      </c>
      <c r="AK172" s="84">
        <f>+B172</f>
        <v>1937.5333333333333</v>
      </c>
      <c r="AL172" s="84">
        <f>+D172</f>
        <v>9691.4666666666672</v>
      </c>
      <c r="AM172" s="84">
        <f>+F172</f>
        <v>10613</v>
      </c>
      <c r="AN172" s="84">
        <f>+H172</f>
        <v>6680.4</v>
      </c>
      <c r="AO172" s="84"/>
      <c r="AP172" s="84">
        <f>+J172</f>
        <v>28922.400000000001</v>
      </c>
      <c r="AY172" s="124" t="s">
        <v>482</v>
      </c>
      <c r="AZ172" s="84">
        <f>+Tables!V110+Tables!AD141</f>
        <v>1925.9333333333334</v>
      </c>
      <c r="BA172" s="84">
        <f>+Tables!W110+Tables!AE141</f>
        <v>8904.7999999999993</v>
      </c>
      <c r="BB172" s="84">
        <f>+Tables!X110+Tables!AF141</f>
        <v>10226.633333333331</v>
      </c>
      <c r="BC172" s="84">
        <f>+Tables!Y110+Tables!AG141</f>
        <v>5890.9333333333325</v>
      </c>
      <c r="BD172" s="124"/>
      <c r="BE172" s="84">
        <f>+Tables!Z110+Tables!AH141</f>
        <v>26948.299999999996</v>
      </c>
    </row>
    <row r="173" spans="1:62" ht="15" customHeight="1">
      <c r="A173" s="1" t="s">
        <v>483</v>
      </c>
      <c r="B173" s="33">
        <f>+Tables!B111+Tables!B142</f>
        <v>0</v>
      </c>
      <c r="C173" s="120">
        <f>+GETPIVOTDATA("Sum of New-HS % of Total",'Pivot-HS Student % of Undergrad'!$A$3,"State","MD","Category",7,"Category2","Two-Year")</f>
        <v>0</v>
      </c>
      <c r="D173" s="428">
        <f>+Tables!C111+Tables!C142</f>
        <v>47629.51666666667</v>
      </c>
      <c r="E173" s="120">
        <f>+GETPIVOTDATA("Sum of New-HS % of Total",'Pivot-HS Student % of Undergrad'!$A$3,"State","MD","Category",8,"Category2","Two-Year")</f>
        <v>0</v>
      </c>
      <c r="F173" s="428">
        <f>+Tables!D111+Tables!D142</f>
        <v>26577.733333333334</v>
      </c>
      <c r="G173" s="120">
        <f>+GETPIVOTDATA("Sum of New-HS % of Total",'Pivot-HS Student % of Undergrad'!$A$3,"State","MD","Category",9,"Category2","Two-Year")</f>
        <v>0</v>
      </c>
      <c r="H173" s="428">
        <f>+Tables!E111+Tables!E142</f>
        <v>8075.9833333333336</v>
      </c>
      <c r="I173" s="120">
        <f>+GETPIVOTDATA("Sum of New-HS % of Total",'Pivot-HS Student % of Undergrad'!$A$3,"State","MD","Category",10,"Category2","Two-Year")</f>
        <v>0</v>
      </c>
      <c r="J173" s="428">
        <f>+Tables!F111+Tables!F142</f>
        <v>82283.233333333337</v>
      </c>
      <c r="K173" s="120">
        <f>+GETPIVOTDATA("Sum of New-HS % of Total",'Pivot-HS Student % of Undergrad'!$A$3,"State","MD","Category2","Group2")</f>
        <v>0</v>
      </c>
      <c r="Q173" s="1" t="s">
        <v>483</v>
      </c>
      <c r="R173" s="486">
        <f>+GETPIVOTDATA("Sum of Old-HS % of Total",'Pivot-HS Student % of Undergrad'!$A$3,"State","MD","Category",7,"Category2","Two-Year")</f>
        <v>0</v>
      </c>
      <c r="S173" s="546" t="e">
        <f>+'Pivot-HS Student % of Undergrad'!AD61*100</f>
        <v>#VALUE!</v>
      </c>
      <c r="T173" s="556">
        <f>+GETPIVOTDATA("Sum of Old-HS % of Total",'Pivot-HS Student % of Undergrad'!$A$3,"State","MD","Category",8,"Category2","Two-Year")</f>
        <v>0</v>
      </c>
      <c r="U173" s="546" t="e">
        <f>+'Pivot-HS Student % of Undergrad'!AE61*100</f>
        <v>#VALUE!</v>
      </c>
      <c r="V173" s="556">
        <f>+GETPIVOTDATA("Sum of Old-HS % of Total",'Pivot-HS Student % of Undergrad'!$A$3,"State","MD","Category",9,"Category2","Two-Year")</f>
        <v>0</v>
      </c>
      <c r="W173" s="546" t="e">
        <f>+'Pivot-HS Student % of Undergrad'!AF61*100</f>
        <v>#VALUE!</v>
      </c>
      <c r="X173" s="556">
        <f>+GETPIVOTDATA("Sum of Old-HS % of Total",'Pivot-HS Student % of Undergrad'!$A$3,"State","MD","Category",10,"Category2","Two-Year")</f>
        <v>0</v>
      </c>
      <c r="Y173" s="546" t="e">
        <f>+'Pivot-HS Student % of Undergrad'!AG61*100</f>
        <v>#VALUE!</v>
      </c>
      <c r="Z173" s="556">
        <f>+GETPIVOTDATA("Sum of Old-HS % of Total",'Pivot-HS Student % of Undergrad'!$A$3,"State","MD","Category2","Two-Year")</f>
        <v>0</v>
      </c>
      <c r="AA173" s="546" t="e">
        <f>+'Pivot-HS Student % of Undergrad'!AH61*100</f>
        <v>#VALUE!</v>
      </c>
      <c r="AC173" s="251" t="s">
        <v>483</v>
      </c>
      <c r="AD173" s="266">
        <f>+Tables!V111+Tables!AD142</f>
        <v>0</v>
      </c>
      <c r="AE173" s="266">
        <f>+Tables!W111+Tables!AE142</f>
        <v>40822.46666666666</v>
      </c>
      <c r="AF173" s="266">
        <f>+Tables!X111+Tables!AF142</f>
        <v>25040.366666666669</v>
      </c>
      <c r="AG173" s="266">
        <f>+Tables!Y111+Tables!AG142</f>
        <v>7240.1666666666661</v>
      </c>
      <c r="AH173" s="264">
        <f>+Tables!Z111+Tables!AH142</f>
        <v>73103</v>
      </c>
      <c r="AJ173" s="124" t="s">
        <v>483</v>
      </c>
      <c r="AK173" s="84">
        <f>+B173</f>
        <v>0</v>
      </c>
      <c r="AL173" s="84">
        <f>+D173</f>
        <v>47629.51666666667</v>
      </c>
      <c r="AM173" s="84">
        <f>+F173</f>
        <v>26577.733333333334</v>
      </c>
      <c r="AN173" s="84">
        <f>+H173</f>
        <v>8075.9833333333336</v>
      </c>
      <c r="AO173" s="84"/>
      <c r="AP173" s="84">
        <f>+J173</f>
        <v>82283.233333333337</v>
      </c>
      <c r="AY173" s="124" t="s">
        <v>483</v>
      </c>
      <c r="AZ173" s="84">
        <f>+Tables!V111+Tables!AD142</f>
        <v>0</v>
      </c>
      <c r="BA173" s="84">
        <f>+Tables!W111+Tables!AE142</f>
        <v>40822.46666666666</v>
      </c>
      <c r="BB173" s="84">
        <f>+Tables!X111+Tables!AF142</f>
        <v>25040.366666666669</v>
      </c>
      <c r="BC173" s="84">
        <f>+Tables!Y111+Tables!AG142</f>
        <v>7240.1666666666661</v>
      </c>
      <c r="BD173" s="124"/>
      <c r="BE173" s="84">
        <f>+Tables!Z111+Tables!AH142</f>
        <v>73103</v>
      </c>
    </row>
    <row r="174" spans="1:62" ht="15" customHeight="1">
      <c r="B174" s="33"/>
      <c r="C174" s="120"/>
      <c r="D174" s="428"/>
      <c r="E174" s="120"/>
      <c r="F174" s="428"/>
      <c r="G174" s="120"/>
      <c r="H174" s="428"/>
      <c r="I174" s="120"/>
      <c r="J174" s="428"/>
      <c r="K174" s="120"/>
      <c r="R174" s="486"/>
      <c r="S174" s="546"/>
      <c r="T174" s="556"/>
      <c r="U174" s="546"/>
      <c r="V174" s="556"/>
      <c r="W174" s="546"/>
      <c r="X174" s="556"/>
      <c r="Y174" s="546"/>
      <c r="Z174" s="556"/>
      <c r="AA174" s="546"/>
      <c r="AC174" s="251"/>
      <c r="AD174" s="266"/>
      <c r="AE174" s="266"/>
      <c r="AF174" s="266"/>
      <c r="AG174" s="266"/>
      <c r="AH174" s="264"/>
      <c r="AJ174" s="124"/>
      <c r="AK174" s="84"/>
      <c r="AL174" s="84"/>
      <c r="AM174" s="84"/>
      <c r="AN174" s="84"/>
      <c r="AO174" s="84"/>
      <c r="AP174" s="84"/>
      <c r="AY174" s="124"/>
      <c r="AZ174" s="84"/>
      <c r="BA174" s="84"/>
      <c r="BB174" s="84"/>
      <c r="BC174" s="84"/>
      <c r="BD174" s="124"/>
      <c r="BE174" s="84"/>
    </row>
    <row r="175" spans="1:62" ht="15" customHeight="1">
      <c r="A175" s="1" t="s">
        <v>484</v>
      </c>
      <c r="B175" s="33">
        <f>+Tables!B113+Tables!B144</f>
        <v>0</v>
      </c>
      <c r="C175" s="120">
        <f>+GETPIVOTDATA("Sum of New-HS % of Total",'Pivot-HS Student % of Undergrad'!$A$3,"State","MS","Category",7,"Category2","Two-Year")</f>
        <v>0</v>
      </c>
      <c r="D175" s="428">
        <f>+Tables!C113+Tables!C144</f>
        <v>21342.799999999999</v>
      </c>
      <c r="E175" s="120">
        <f>+GETPIVOTDATA("Sum of New-HS % of Total",'Pivot-HS Student % of Undergrad'!$A$3,"State","MS","Category",8,"Category2","Two-Year")</f>
        <v>7.9886425398729317E-3</v>
      </c>
      <c r="F175" s="428">
        <f>+Tables!D113+Tables!D144</f>
        <v>34138.933333333334</v>
      </c>
      <c r="G175" s="120">
        <f>+GETPIVOTDATA("Sum of New-HS % of Total",'Pivot-HS Student % of Undergrad'!$A$3,"State","MS","Category",9,"Category2","Two-Year")</f>
        <v>7.6510884932940691E-3</v>
      </c>
      <c r="H175" s="428">
        <f>+Tables!E113+Tables!E144</f>
        <v>3109.9333333333334</v>
      </c>
      <c r="I175" s="120">
        <f>+GETPIVOTDATA("Sum of New-HS % of Total",'Pivot-HS Student % of Undergrad'!$A$3,"State","MS","Category",10,"Category2","Two-Year")</f>
        <v>1.388025466783854E-2</v>
      </c>
      <c r="J175" s="428">
        <f>+Tables!F113+Tables!F144</f>
        <v>58591.666666666672</v>
      </c>
      <c r="K175" s="120">
        <f>+GETPIVOTDATA("Sum of New-HS % of Total",'Pivot-HS Student % of Undergrad'!$A$3,"State","MS","Category2","Group2")</f>
        <v>8.1046792774854218E-3</v>
      </c>
      <c r="Q175" s="1" t="s">
        <v>484</v>
      </c>
      <c r="R175" s="486">
        <f>+GETPIVOTDATA("Sum of Old-HS % of Total",'Pivot-HS Student % of Undergrad'!$A$3,"State","MS","Category",7,"Category2","Two-Year")</f>
        <v>0</v>
      </c>
      <c r="S175" s="546" t="e">
        <f>+'Pivot-HS Student % of Undergrad'!AD68*100</f>
        <v>#VALUE!</v>
      </c>
      <c r="T175" s="556">
        <f>+GETPIVOTDATA("Sum of Old-HS % of Total",'Pivot-HS Student % of Undergrad'!$A$3,"State","MS","Category",8,"Category2","Two-Year")</f>
        <v>0</v>
      </c>
      <c r="U175" s="546" t="e">
        <f>+'Pivot-HS Student % of Undergrad'!AE68*100</f>
        <v>#VALUE!</v>
      </c>
      <c r="V175" s="556">
        <f>+GETPIVOTDATA("Sum of Old-HS % of Total",'Pivot-HS Student % of Undergrad'!$A$3,"State","MS","Category",9,"Category2","Two-Year")</f>
        <v>0</v>
      </c>
      <c r="W175" s="546" t="e">
        <f>+'Pivot-HS Student % of Undergrad'!AF68*100</f>
        <v>#VALUE!</v>
      </c>
      <c r="X175" s="556">
        <f>+GETPIVOTDATA("Sum of Old-HS % of Total",'Pivot-HS Student % of Undergrad'!$A$3,"State","MS","Category",10,"Category2","Two-Year")</f>
        <v>0</v>
      </c>
      <c r="Y175" s="546" t="e">
        <f>+'Pivot-HS Student % of Undergrad'!AG68*100</f>
        <v>#VALUE!</v>
      </c>
      <c r="Z175" s="556">
        <f>+GETPIVOTDATA("Sum of Old-HS % of Total",'Pivot-HS Student % of Undergrad'!$A$3,"State","MS","Category2","Two-Year")</f>
        <v>0</v>
      </c>
      <c r="AA175" s="546" t="e">
        <f>+'Pivot-HS Student % of Undergrad'!AH68*100</f>
        <v>#VALUE!</v>
      </c>
      <c r="AC175" s="251" t="s">
        <v>484</v>
      </c>
      <c r="AD175" s="266">
        <f>+Tables!V113+Tables!AD144</f>
        <v>0</v>
      </c>
      <c r="AE175" s="266">
        <f>+Tables!W113+Tables!AE144</f>
        <v>20479.5</v>
      </c>
      <c r="AF175" s="266">
        <f>+Tables!X113+Tables!AF144</f>
        <v>32813.26666666667</v>
      </c>
      <c r="AG175" s="266">
        <f>+Tables!Y113+Tables!AG144</f>
        <v>3290.2</v>
      </c>
      <c r="AH175" s="264">
        <f>+Tables!Z113+Tables!AH144</f>
        <v>56582.966666666667</v>
      </c>
      <c r="AJ175" s="124" t="s">
        <v>484</v>
      </c>
      <c r="AK175" s="84">
        <f>+B175</f>
        <v>0</v>
      </c>
      <c r="AL175" s="84">
        <f>+D175</f>
        <v>21342.799999999999</v>
      </c>
      <c r="AM175" s="84">
        <f>+F175</f>
        <v>34138.933333333334</v>
      </c>
      <c r="AN175" s="84">
        <f>+H175</f>
        <v>3109.9333333333334</v>
      </c>
      <c r="AO175" s="84"/>
      <c r="AP175" s="84">
        <f>+J175</f>
        <v>58591.666666666672</v>
      </c>
      <c r="AY175" s="124" t="s">
        <v>484</v>
      </c>
      <c r="AZ175" s="84">
        <f>+Tables!V113+Tables!AD144</f>
        <v>0</v>
      </c>
      <c r="BA175" s="84">
        <f>+Tables!W113+Tables!AE144</f>
        <v>20479.5</v>
      </c>
      <c r="BB175" s="84">
        <f>+Tables!X113+Tables!AF144</f>
        <v>32813.26666666667</v>
      </c>
      <c r="BC175" s="84">
        <f>+Tables!Y113+Tables!AG144</f>
        <v>3290.2</v>
      </c>
      <c r="BD175" s="124"/>
      <c r="BE175" s="84">
        <f>+Tables!Z113+Tables!AH144</f>
        <v>56582.966666666667</v>
      </c>
    </row>
    <row r="176" spans="1:62" ht="15" customHeight="1">
      <c r="A176" s="1" t="s">
        <v>485</v>
      </c>
      <c r="B176" s="33">
        <f>+Tables!B114+Tables!B145</f>
        <v>0</v>
      </c>
      <c r="C176" s="120">
        <f>+GETPIVOTDATA("Sum of New-HS % of Total",'Pivot-HS Student % of Undergrad'!$A$3,"State","NC","Category",7,"Category2","Two-Year")</f>
        <v>0</v>
      </c>
      <c r="D176" s="428">
        <f>+Tables!C114+Tables!C145</f>
        <v>105422</v>
      </c>
      <c r="E176" s="120">
        <f>+GETPIVOTDATA("Sum of New-HS % of Total",'Pivot-HS Student % of Undergrad'!$A$3,"State","NC","Category",8,"Category2","Two-Year")</f>
        <v>2.5274420898863618E-2</v>
      </c>
      <c r="F176" s="428">
        <f>+Tables!D114+Tables!D145</f>
        <v>107798</v>
      </c>
      <c r="G176" s="120">
        <f>+GETPIVOTDATA("Sum of New-HS % of Total",'Pivot-HS Student % of Undergrad'!$A$3,"State","NC","Category",9,"Category2","Two-Year")</f>
        <v>5.5055752425833493E-2</v>
      </c>
      <c r="H176" s="428">
        <f>+Tables!E114+Tables!E145</f>
        <v>18517</v>
      </c>
      <c r="I176" s="120">
        <f>+GETPIVOTDATA("Sum of New-HS % of Total",'Pivot-HS Student % of Undergrad'!$A$3,"State","NC","Category",10,"Category2","Two-Year")</f>
        <v>4.4598477075120165E-2</v>
      </c>
      <c r="J176" s="428">
        <f>+Tables!F114+Tables!F145</f>
        <v>231737</v>
      </c>
      <c r="K176" s="120">
        <f>+GETPIVOTDATA("Sum of New-HS % of Total",'Pivot-HS Student % of Undergrad'!$A$3,"State","NC","Category2","Group2")</f>
        <v>4.0672011806487524E-2</v>
      </c>
      <c r="Q176" s="1" t="s">
        <v>485</v>
      </c>
      <c r="R176" s="486">
        <f>+GETPIVOTDATA("Sum of Old-HS % of Total",'Pivot-HS Student % of Undergrad'!$A$3,"State","NC","Category",7,"Category2","Two-Year")</f>
        <v>0</v>
      </c>
      <c r="S176" s="546" t="e">
        <f>+'Pivot-HS Student % of Undergrad'!AD75*100</f>
        <v>#VALUE!</v>
      </c>
      <c r="T176" s="556">
        <f>+GETPIVOTDATA("Sum of Old-HS % of Total",'Pivot-HS Student % of Undergrad'!$A$3,"State","NC","Category",8,"Category2","Two-Year")</f>
        <v>2.2775147445591119E-2</v>
      </c>
      <c r="U176" s="546">
        <f>+'Pivot-HS Student % of Undergrad'!AE75*100</f>
        <v>0.24992734532724992</v>
      </c>
      <c r="V176" s="556">
        <f>+GETPIVOTDATA("Sum of Old-HS % of Total",'Pivot-HS Student % of Undergrad'!$A$3,"State","NC","Category",9,"Category2","Two-Year")</f>
        <v>5.06801288360249E-2</v>
      </c>
      <c r="W176" s="546">
        <f>+'Pivot-HS Student % of Undergrad'!AF75*100</f>
        <v>0.43756235898085927</v>
      </c>
      <c r="X176" s="556">
        <f>+GETPIVOTDATA("Sum of Old-HS % of Total",'Pivot-HS Student % of Undergrad'!$A$3,"State","NC","Category",10,"Category2","Two-Year")</f>
        <v>4.3789506002068518E-2</v>
      </c>
      <c r="Y176" s="546">
        <f>+'Pivot-HS Student % of Undergrad'!AG75*100</f>
        <v>8.0897107305164667E-2</v>
      </c>
      <c r="Z176" s="556">
        <f>+GETPIVOTDATA("Sum of Old-HS % of Total",'Pivot-HS Student % of Undergrad'!$A$3,"State","NC","Category2","Two-Year")</f>
        <v>3.7581742789010046E-2</v>
      </c>
      <c r="AA176" s="546">
        <f>+'Pivot-HS Student % of Undergrad'!AH75*100</f>
        <v>0.30902690174774772</v>
      </c>
      <c r="AC176" s="251" t="s">
        <v>485</v>
      </c>
      <c r="AD176" s="266">
        <f>+Tables!V114+Tables!AD145</f>
        <v>0</v>
      </c>
      <c r="AE176" s="266">
        <f>+Tables!W114+Tables!AE145</f>
        <v>99516.37</v>
      </c>
      <c r="AF176" s="266">
        <f>+Tables!X114+Tables!AF145</f>
        <v>103911.92999999998</v>
      </c>
      <c r="AG176" s="266">
        <f>+Tables!Y114+Tables!AG145</f>
        <v>18109.589999999997</v>
      </c>
      <c r="AH176" s="264">
        <f>+Tables!Z114+Tables!AH145</f>
        <v>221537.88999999998</v>
      </c>
      <c r="AJ176" s="124" t="s">
        <v>485</v>
      </c>
      <c r="AK176" s="84">
        <f>+B176</f>
        <v>0</v>
      </c>
      <c r="AL176" s="84">
        <f>+D176</f>
        <v>105422</v>
      </c>
      <c r="AM176" s="84">
        <f>+F176</f>
        <v>107798</v>
      </c>
      <c r="AN176" s="84">
        <f>+H176</f>
        <v>18517</v>
      </c>
      <c r="AO176" s="84"/>
      <c r="AP176" s="84">
        <f>+J176</f>
        <v>231737</v>
      </c>
      <c r="AY176" s="124" t="s">
        <v>485</v>
      </c>
      <c r="AZ176" s="84">
        <f>+Tables!V114+Tables!AD145</f>
        <v>0</v>
      </c>
      <c r="BA176" s="84">
        <f>+Tables!W114+Tables!AE145</f>
        <v>99516.37</v>
      </c>
      <c r="BB176" s="84">
        <f>+Tables!X114+Tables!AF145</f>
        <v>103911.92999999998</v>
      </c>
      <c r="BC176" s="84">
        <f>+Tables!Y114+Tables!AG145</f>
        <v>18109.589999999997</v>
      </c>
      <c r="BD176" s="124"/>
      <c r="BE176" s="84">
        <f>+Tables!Z114+Tables!AH145</f>
        <v>221537.88999999998</v>
      </c>
    </row>
    <row r="177" spans="1:62" ht="15" customHeight="1">
      <c r="A177" s="1" t="s">
        <v>486</v>
      </c>
      <c r="B177" s="33">
        <f>+Tables!B115+Tables!B146</f>
        <v>2935.6</v>
      </c>
      <c r="C177" s="120">
        <f>+GETPIVOTDATA("Sum of New-HS % of Total",'Pivot-HS Student % of Undergrad'!$A$3,"State","OK","Category",7,"Category2","Two-Year")</f>
        <v>1.1968024708180043E-2</v>
      </c>
      <c r="D177" s="428">
        <f>+Tables!C115+Tables!C146</f>
        <v>19308.033333333333</v>
      </c>
      <c r="E177" s="120">
        <f>+GETPIVOTDATA("Sum of New-HS % of Total",'Pivot-HS Student % of Undergrad'!$A$3,"State","OK","Category",8,"Category2","Two-Year")</f>
        <v>2.2327494082773836E-2</v>
      </c>
      <c r="F177" s="428">
        <f>+Tables!D115+Tables!D146</f>
        <v>11911.066666666666</v>
      </c>
      <c r="G177" s="120">
        <f>+GETPIVOTDATA("Sum of New-HS % of Total",'Pivot-HS Student % of Undergrad'!$A$3,"State","OK","Category",9,"Category2","Two-Year")</f>
        <v>2.08825406064948E-2</v>
      </c>
      <c r="H177" s="428">
        <f>+Tables!E115+Tables!E146</f>
        <v>12074.1</v>
      </c>
      <c r="I177" s="120">
        <f>+GETPIVOTDATA("Sum of New-HS % of Total",'Pivot-HS Student % of Undergrad'!$A$3,"State","OK","Category",10,"Category2","Two-Year")</f>
        <v>4.2426902764319215E-2</v>
      </c>
      <c r="J177" s="428">
        <f>+Tables!F115+Tables!F146</f>
        <v>46228.799999999996</v>
      </c>
      <c r="K177" s="120">
        <f>+GETPIVOTDATA("Sum of New-HS % of Total",'Pivot-HS Student % of Undergrad'!$A$3,"State","OK","Category2","Group2")</f>
        <v>2.6546943319604516E-2</v>
      </c>
      <c r="Q177" s="1" t="s">
        <v>486</v>
      </c>
      <c r="R177" s="486">
        <f>+GETPIVOTDATA("Sum of Old-HS % of Total",'Pivot-HS Student % of Undergrad'!$A$3,"State","OK","Category",7,"Category2","Two-Year")</f>
        <v>1.5382886538725668E-2</v>
      </c>
      <c r="S177" s="546">
        <f>+'Pivot-HS Student % of Undergrad'!AD82*100</f>
        <v>-0.34148618305456252</v>
      </c>
      <c r="T177" s="556">
        <f>+GETPIVOTDATA("Sum of Old-HS % of Total",'Pivot-HS Student % of Undergrad'!$A$3,"State","OK","Category",8,"Category2","Two-Year")</f>
        <v>1.7497087392519425E-2</v>
      </c>
      <c r="U177" s="546">
        <f>+'Pivot-HS Student % of Undergrad'!AE82*100</f>
        <v>0.48304066902544118</v>
      </c>
      <c r="V177" s="556">
        <f>+GETPIVOTDATA("Sum of Old-HS % of Total",'Pivot-HS Student % of Undergrad'!$A$3,"State","OK","Category",9,"Category2","Two-Year")</f>
        <v>2.4465448597691876E-2</v>
      </c>
      <c r="W177" s="546">
        <f>+'Pivot-HS Student % of Undergrad'!AF82*100</f>
        <v>-0.35829079911970757</v>
      </c>
      <c r="X177" s="556">
        <f>+GETPIVOTDATA("Sum of Old-HS % of Total",'Pivot-HS Student % of Undergrad'!$A$3,"State","OK","Category",10,"Category2","Two-Year")</f>
        <v>4.0512622497554981E-2</v>
      </c>
      <c r="Y177" s="546">
        <f>+'Pivot-HS Student % of Undergrad'!AG82*100</f>
        <v>0.19142802667642331</v>
      </c>
      <c r="Z177" s="556">
        <f>+GETPIVOTDATA("Sum of Old-HS % of Total",'Pivot-HS Student % of Undergrad'!$A$3,"State","OK","Category2","Two-Year")</f>
        <v>2.525162794229421E-2</v>
      </c>
      <c r="AA177" s="546">
        <f>+'Pivot-HS Student % of Undergrad'!AH82*100</f>
        <v>0.12953153773103063</v>
      </c>
      <c r="AC177" s="251" t="s">
        <v>486</v>
      </c>
      <c r="AD177" s="266">
        <f>+Tables!V115+Tables!AD146</f>
        <v>2669.6333333333332</v>
      </c>
      <c r="AE177" s="266">
        <f>+Tables!W115+Tables!AE146</f>
        <v>18654.533333333333</v>
      </c>
      <c r="AF177" s="266">
        <f>+Tables!X115+Tables!AF146</f>
        <v>12064.633333333333</v>
      </c>
      <c r="AG177" s="266">
        <f>+Tables!Y115+Tables!AG146</f>
        <v>11826.766666666666</v>
      </c>
      <c r="AH177" s="264">
        <f>+Tables!Z115+Tables!AH146</f>
        <v>45215.566666666666</v>
      </c>
      <c r="AJ177" s="124" t="s">
        <v>486</v>
      </c>
      <c r="AK177" s="84">
        <f>+B177</f>
        <v>2935.6</v>
      </c>
      <c r="AL177" s="84">
        <f>+D177</f>
        <v>19308.033333333333</v>
      </c>
      <c r="AM177" s="84">
        <f>+F177</f>
        <v>11911.066666666666</v>
      </c>
      <c r="AN177" s="84">
        <f>+H177</f>
        <v>12074.1</v>
      </c>
      <c r="AO177" s="84"/>
      <c r="AP177" s="84">
        <f>+J177</f>
        <v>46228.799999999996</v>
      </c>
      <c r="AY177" s="124" t="s">
        <v>486</v>
      </c>
      <c r="AZ177" s="84">
        <f>+Tables!V115+Tables!AD146</f>
        <v>2669.6333333333332</v>
      </c>
      <c r="BA177" s="84">
        <f>+Tables!W115+Tables!AE146</f>
        <v>18654.533333333333</v>
      </c>
      <c r="BB177" s="84">
        <f>+Tables!X115+Tables!AF146</f>
        <v>12064.633333333333</v>
      </c>
      <c r="BC177" s="84">
        <f>+Tables!Y115+Tables!AG146</f>
        <v>11826.766666666666</v>
      </c>
      <c r="BD177" s="124"/>
      <c r="BE177" s="84">
        <f>+Tables!Z115+Tables!AH146</f>
        <v>45215.566666666666</v>
      </c>
    </row>
    <row r="178" spans="1:62" ht="15" customHeight="1">
      <c r="A178" s="1" t="s">
        <v>487</v>
      </c>
      <c r="B178" s="33">
        <f>+Tables!B116+Tables!B147</f>
        <v>1188.3666666666666</v>
      </c>
      <c r="C178" s="120">
        <f>+GETPIVOTDATA("Sum of New-HS % of Total",'Pivot-HS Student % of Undergrad'!$A$3,"State","SC","Category",7,"Category2","Two-Year")</f>
        <v>9.312501753106505E-3</v>
      </c>
      <c r="D178" s="428">
        <f>+Tables!C116+Tables!C147</f>
        <v>29262.682666666668</v>
      </c>
      <c r="E178" s="120">
        <f>+GETPIVOTDATA("Sum of New-HS % of Total",'Pivot-HS Student % of Undergrad'!$A$3,"State","SC","Category",8,"Category2","Two-Year")</f>
        <v>1.4222892847554829E-2</v>
      </c>
      <c r="F178" s="428">
        <f>+Tables!D116+Tables!D147</f>
        <v>31398.061666666668</v>
      </c>
      <c r="G178" s="120">
        <f>+GETPIVOTDATA("Sum of New-HS % of Total",'Pivot-HS Student % of Undergrad'!$A$3,"State","SC","Category",9,"Category2","Two-Year")</f>
        <v>3.287888737505399E-2</v>
      </c>
      <c r="H178" s="428">
        <f>+Tables!E116+Tables!E147</f>
        <v>6907.3996666666662</v>
      </c>
      <c r="I178" s="120">
        <f>+GETPIVOTDATA("Sum of New-HS % of Total",'Pivot-HS Student % of Undergrad'!$A$3,"State","SC","Category",10,"Category2","Two-Year")</f>
        <v>6.2112133948718479E-2</v>
      </c>
      <c r="J178" s="428">
        <f>+Tables!F116+Tables!F147</f>
        <v>68756.510666666669</v>
      </c>
      <c r="K178" s="120">
        <f>+GETPIVOTDATA("Sum of New-HS % of Total",'Pivot-HS Student % of Undergrad'!$A$3,"State","SC","Category2","Group2")</f>
        <v>2.7468429026153991E-2</v>
      </c>
      <c r="Q178" s="1" t="s">
        <v>487</v>
      </c>
      <c r="R178" s="486">
        <f>+GETPIVOTDATA("Sum of Old-HS % of Total",'Pivot-HS Student % of Undergrad'!$A$3,"State","SC","Category",7,"Category2","Two-Year")</f>
        <v>9.7442143727161992E-3</v>
      </c>
      <c r="S178" s="546">
        <f>+'Pivot-HS Student % of Undergrad'!AD89*100</f>
        <v>-4.3171261960969418E-2</v>
      </c>
      <c r="T178" s="556">
        <f>+GETPIVOTDATA("Sum of Old-HS % of Total",'Pivot-HS Student % of Undergrad'!$A$3,"State","SC","Category",8,"Category2","Two-Year")</f>
        <v>9.8769460368366441E-3</v>
      </c>
      <c r="U178" s="546">
        <f>+'Pivot-HS Student % of Undergrad'!AE89*100</f>
        <v>0.43459468107181853</v>
      </c>
      <c r="V178" s="556">
        <f>+GETPIVOTDATA("Sum of Old-HS % of Total",'Pivot-HS Student % of Undergrad'!$A$3,"State","SC","Category",9,"Category2","Two-Year")</f>
        <v>2.8871661602405663E-2</v>
      </c>
      <c r="W178" s="546">
        <f>+'Pivot-HS Student % of Undergrad'!AF89*100</f>
        <v>0.40072257726483268</v>
      </c>
      <c r="X178" s="556">
        <f>+GETPIVOTDATA("Sum of Old-HS % of Total",'Pivot-HS Student % of Undergrad'!$A$3,"State","SC","Category",10,"Category2","Two-Year")</f>
        <v>5.1413422571019336E-2</v>
      </c>
      <c r="Y178" s="546">
        <f>+'Pivot-HS Student % of Undergrad'!AG89*100</f>
        <v>1.0698711377699142</v>
      </c>
      <c r="Z178" s="556">
        <f>+GETPIVOTDATA("Sum of Old-HS % of Total",'Pivot-HS Student % of Undergrad'!$A$3,"State","SC","Category2","Two-Year")</f>
        <v>2.2717621923622422E-2</v>
      </c>
      <c r="AA178" s="546">
        <f>+'Pivot-HS Student % of Undergrad'!AH89*100</f>
        <v>0.4750807102531569</v>
      </c>
      <c r="AC178" s="251" t="s">
        <v>487</v>
      </c>
      <c r="AD178" s="266">
        <f>+Tables!V116+Tables!AD147</f>
        <v>1094.6666666666667</v>
      </c>
      <c r="AE178" s="266">
        <f>+Tables!W116+Tables!AE147</f>
        <v>27950.609999999993</v>
      </c>
      <c r="AF178" s="266">
        <f>+Tables!X116+Tables!AF147</f>
        <v>29649.603999999999</v>
      </c>
      <c r="AG178" s="266">
        <f>+Tables!Y116+Tables!AG147</f>
        <v>6643.530999999999</v>
      </c>
      <c r="AH178" s="264">
        <f>+Tables!Z116+Tables!AH147</f>
        <v>65338.411666666667</v>
      </c>
      <c r="AJ178" s="124" t="s">
        <v>487</v>
      </c>
      <c r="AK178" s="84">
        <f>+B178</f>
        <v>1188.3666666666666</v>
      </c>
      <c r="AL178" s="84">
        <f>+D178</f>
        <v>29262.682666666668</v>
      </c>
      <c r="AM178" s="84">
        <f>+F178</f>
        <v>31398.061666666668</v>
      </c>
      <c r="AN178" s="84">
        <f>+H178</f>
        <v>6907.3996666666662</v>
      </c>
      <c r="AO178" s="84"/>
      <c r="AP178" s="84">
        <f>+J178</f>
        <v>68756.510666666669</v>
      </c>
      <c r="AY178" s="124" t="s">
        <v>487</v>
      </c>
      <c r="AZ178" s="84">
        <f>+Tables!V116+Tables!AD147</f>
        <v>1094.6666666666667</v>
      </c>
      <c r="BA178" s="84">
        <f>+Tables!W116+Tables!AE147</f>
        <v>27950.609999999993</v>
      </c>
      <c r="BB178" s="84">
        <f>+Tables!X116+Tables!AF147</f>
        <v>29649.603999999999</v>
      </c>
      <c r="BC178" s="84">
        <f>+Tables!Y116+Tables!AG147</f>
        <v>6643.530999999999</v>
      </c>
      <c r="BD178" s="124"/>
      <c r="BE178" s="84">
        <f>+Tables!Z116+Tables!AH147</f>
        <v>65338.411666666667</v>
      </c>
    </row>
    <row r="179" spans="1:62" ht="15" customHeight="1">
      <c r="B179" s="33"/>
      <c r="C179" s="120"/>
      <c r="D179" s="428"/>
      <c r="E179" s="120"/>
      <c r="F179" s="428"/>
      <c r="G179" s="120"/>
      <c r="H179" s="428"/>
      <c r="I179" s="120"/>
      <c r="J179" s="428"/>
      <c r="K179" s="120"/>
      <c r="R179" s="486"/>
      <c r="S179" s="546"/>
      <c r="T179" s="556"/>
      <c r="U179" s="546"/>
      <c r="V179" s="556"/>
      <c r="W179" s="546"/>
      <c r="X179" s="556"/>
      <c r="Y179" s="546"/>
      <c r="Z179" s="556"/>
      <c r="AA179" s="546"/>
      <c r="AC179" s="251"/>
      <c r="AD179" s="266"/>
      <c r="AE179" s="266"/>
      <c r="AF179" s="266"/>
      <c r="AG179" s="266"/>
      <c r="AH179" s="264"/>
      <c r="AJ179" s="124"/>
      <c r="AK179" s="84"/>
      <c r="AL179" s="84"/>
      <c r="AM179" s="84"/>
      <c r="AN179" s="84"/>
      <c r="AO179" s="84"/>
      <c r="AP179" s="84"/>
      <c r="AY179" s="124"/>
      <c r="AZ179" s="84"/>
      <c r="BA179" s="84"/>
      <c r="BB179" s="84"/>
      <c r="BC179" s="84"/>
      <c r="BD179" s="124"/>
      <c r="BE179" s="84"/>
    </row>
    <row r="180" spans="1:62" ht="15" customHeight="1">
      <c r="A180" s="1" t="s">
        <v>488</v>
      </c>
      <c r="B180" s="33">
        <f>+Tables!B118+Tables!B149</f>
        <v>0</v>
      </c>
      <c r="C180" s="120">
        <f>+GETPIVOTDATA("Sum of New-HS % of Total",'Pivot-HS Student % of Undergrad'!$A$3,"State","TN","Category",7,"Category2","Two-Year")</f>
        <v>0</v>
      </c>
      <c r="D180" s="428">
        <f>+Tables!C118+Tables!C149</f>
        <v>19253.966666666667</v>
      </c>
      <c r="E180" s="120">
        <f>+GETPIVOTDATA("Sum of New-HS % of Total",'Pivot-HS Student % of Undergrad'!$A$3,"State","TN","Category",8,"Category2","Two-Year")</f>
        <v>2.6299342646277216E-2</v>
      </c>
      <c r="F180" s="428">
        <f>+Tables!D118+Tables!D149</f>
        <v>32559.833333333332</v>
      </c>
      <c r="G180" s="120">
        <f>+GETPIVOTDATA("Sum of New-HS % of Total",'Pivot-HS Student % of Undergrad'!$A$3,"State","TN","Category",9,"Category2","Two-Year")</f>
        <v>3.7697776913272488E-2</v>
      </c>
      <c r="H180" s="428">
        <f>+Tables!E118+Tables!E149</f>
        <v>1718.0666666666666</v>
      </c>
      <c r="I180" s="120">
        <f>+GETPIVOTDATA("Sum of New-HS % of Total",'Pivot-HS Student % of Undergrad'!$A$3,"State","TN","Category",10,"Category2","Two-Year")</f>
        <v>7.0408598812618836E-2</v>
      </c>
      <c r="J180" s="428">
        <f>+Tables!F118+Tables!F149</f>
        <v>53531.866666666669</v>
      </c>
      <c r="K180" s="120">
        <f>+GETPIVOTDATA("Sum of New-HS % of Total",'Pivot-HS Student % of Undergrad'!$A$3,"State","TN","Category2","Group2")</f>
        <v>3.4647898198954391E-2</v>
      </c>
      <c r="Q180" s="1" t="s">
        <v>488</v>
      </c>
      <c r="R180" s="486">
        <f>+GETPIVOTDATA("Sum of Old-HS % of Total",'Pivot-HS Student % of Undergrad'!$A$3,"State","TN","Category",7,"Category2","Two-Year")</f>
        <v>0</v>
      </c>
      <c r="S180" s="546" t="e">
        <f>+'Pivot-HS Student % of Undergrad'!AD96*100</f>
        <v>#VALUE!</v>
      </c>
      <c r="T180" s="556">
        <f>+GETPIVOTDATA("Sum of Old-HS % of Total",'Pivot-HS Student % of Undergrad'!$A$3,"State","TN","Category",8,"Category2","Two-Year")</f>
        <v>2.7318591480627031E-2</v>
      </c>
      <c r="U180" s="546">
        <f>+'Pivot-HS Student % of Undergrad'!AE96*100</f>
        <v>-0.10192488343498153</v>
      </c>
      <c r="V180" s="556">
        <f>+GETPIVOTDATA("Sum of Old-HS % of Total",'Pivot-HS Student % of Undergrad'!$A$3,"State","TN","Category",9,"Category2","Two-Year")</f>
        <v>3.0766868241847854E-2</v>
      </c>
      <c r="W180" s="546">
        <f>+'Pivot-HS Student % of Undergrad'!AF96*100</f>
        <v>0.69309086714246337</v>
      </c>
      <c r="X180" s="556">
        <f>+GETPIVOTDATA("Sum of Old-HS % of Total",'Pivot-HS Student % of Undergrad'!$A$3,"State","TN","Category",10,"Category2","Two-Year")</f>
        <v>4.5955309872313922E-2</v>
      </c>
      <c r="Y180" s="546">
        <f>+'Pivot-HS Student % of Undergrad'!AG96*100</f>
        <v>2.4453288940304914</v>
      </c>
      <c r="Z180" s="556">
        <f>+GETPIVOTDATA("Sum of Old-HS % of Total",'Pivot-HS Student % of Undergrad'!$A$3,"State","TN","Category2","Two-Year")</f>
        <v>3.001657164225743E-2</v>
      </c>
      <c r="AA180" s="546">
        <f>+'Pivot-HS Student % of Undergrad'!AH96*100</f>
        <v>0.46313265566969608</v>
      </c>
      <c r="AC180" s="251" t="s">
        <v>488</v>
      </c>
      <c r="AD180" s="266">
        <f>+Tables!V118+Tables!AD149</f>
        <v>0</v>
      </c>
      <c r="AE180" s="266">
        <f>+Tables!W118+Tables!AE149</f>
        <v>18869.933333333334</v>
      </c>
      <c r="AF180" s="266">
        <f>+Tables!X118+Tables!AF149</f>
        <v>31474.333333333332</v>
      </c>
      <c r="AG180" s="266">
        <f>+Tables!Y118+Tables!AG149</f>
        <v>1712.5333333333333</v>
      </c>
      <c r="AH180" s="264">
        <f>+Tables!Z118+Tables!AH149</f>
        <v>52056.799999999996</v>
      </c>
      <c r="AJ180" s="124" t="s">
        <v>488</v>
      </c>
      <c r="AK180" s="84">
        <f>+B180</f>
        <v>0</v>
      </c>
      <c r="AL180" s="84">
        <f>+D180</f>
        <v>19253.966666666667</v>
      </c>
      <c r="AM180" s="84">
        <f>+F180</f>
        <v>32559.833333333332</v>
      </c>
      <c r="AN180" s="84">
        <f>+H180</f>
        <v>1718.0666666666666</v>
      </c>
      <c r="AO180" s="84"/>
      <c r="AP180" s="84">
        <f>+J180</f>
        <v>53531.866666666669</v>
      </c>
      <c r="AY180" s="124" t="s">
        <v>488</v>
      </c>
      <c r="AZ180" s="84">
        <f>+Tables!V118+Tables!AD149</f>
        <v>0</v>
      </c>
      <c r="BA180" s="84">
        <f>+Tables!W118+Tables!AE149</f>
        <v>18869.933333333334</v>
      </c>
      <c r="BB180" s="84">
        <f>+Tables!X118+Tables!AF149</f>
        <v>31474.333333333332</v>
      </c>
      <c r="BC180" s="84">
        <f>+Tables!Y118+Tables!AG149</f>
        <v>1712.5333333333333</v>
      </c>
      <c r="BD180" s="124"/>
      <c r="BE180" s="84">
        <f>+Tables!Z118+Tables!AH149</f>
        <v>52056.799999999996</v>
      </c>
    </row>
    <row r="181" spans="1:62" ht="15" customHeight="1">
      <c r="A181" s="1" t="s">
        <v>489</v>
      </c>
      <c r="B181" s="33">
        <f>+Tables!B119+Tables!B150</f>
        <v>0</v>
      </c>
      <c r="C181" s="486">
        <f>+GETPIVOTDATA("Sum of New-HS % of Total",'Pivot-HS Student % of Undergrad'!$A$3,"State","TX","Category",7,"Category2","Two-Year")</f>
        <v>0</v>
      </c>
      <c r="D181" s="428">
        <f>+Tables!C119+Tables!C150</f>
        <v>304272.15000000008</v>
      </c>
      <c r="E181" s="486">
        <f>+GETPIVOTDATA("Sum of New-HS % of Total",'Pivot-HS Student % of Undergrad'!$A$3,"State","TX","Category",8,"Category2","Two-Year")</f>
        <v>6.032747147071961E-2</v>
      </c>
      <c r="F181" s="428">
        <f>+Tables!D119+Tables!D150</f>
        <v>100029.24222222222</v>
      </c>
      <c r="G181" s="486">
        <f>+GETPIVOTDATA("Sum of New-HS % of Total",'Pivot-HS Student % of Undergrad'!$A$3,"State","TX","Category",9,"Category2","Two-Year")</f>
        <v>7.4176853690971128E-2</v>
      </c>
      <c r="H181" s="428">
        <f>+Tables!E119+Tables!E150</f>
        <v>14660.586666666664</v>
      </c>
      <c r="I181" s="486">
        <f>+GETPIVOTDATA("Sum of New-HS % of Total",'Pivot-HS Student % of Undergrad'!$A$3,"State","TX","Category",10,"Category2","Two-Year")</f>
        <v>7.8766354125274884E-2</v>
      </c>
      <c r="J181" s="428">
        <f>+Tables!F119+Tables!F150</f>
        <v>418961.97888888896</v>
      </c>
      <c r="K181" s="486">
        <f>+GETPIVOTDATA("Sum of New-HS % of Total",'Pivot-HS Student % of Undergrad'!$A$3,"State","TX","Category2","Group2")</f>
        <v>6.4161164606631085E-2</v>
      </c>
      <c r="Q181" s="1" t="s">
        <v>489</v>
      </c>
      <c r="R181" s="486">
        <f>+GETPIVOTDATA("Sum of Old-HS % of Total",'Pivot-HS Student % of Undergrad'!$A$3,"State","TX","Category",7,"Category2","Two-Year")</f>
        <v>0</v>
      </c>
      <c r="S181" s="546" t="e">
        <f>+'Pivot-HS Student % of Undergrad'!AD103*100</f>
        <v>#VALUE!</v>
      </c>
      <c r="T181" s="556">
        <f>+GETPIVOTDATA("Sum of Old-HS % of Total",'Pivot-HS Student % of Undergrad'!$A$3,"State","TX","Category",8,"Category2","Two-Year")</f>
        <v>4.9681074062544753E-2</v>
      </c>
      <c r="U181" s="546">
        <f>+'Pivot-HS Student % of Undergrad'!AE103*100</f>
        <v>1.0646397408174857</v>
      </c>
      <c r="V181" s="556">
        <f>+GETPIVOTDATA("Sum of Old-HS % of Total",'Pivot-HS Student % of Undergrad'!$A$3,"State","TX","Category",9,"Category2","Two-Year")</f>
        <v>5.7518685834696333E-2</v>
      </c>
      <c r="W181" s="546">
        <f>+'Pivot-HS Student % of Undergrad'!AF103*100</f>
        <v>1.6658167856274795</v>
      </c>
      <c r="X181" s="556">
        <f>+GETPIVOTDATA("Sum of Old-HS % of Total",'Pivot-HS Student % of Undergrad'!$A$3,"State","TX","Category",10,"Category2","Two-Year")</f>
        <v>6.7799677833885366E-2</v>
      </c>
      <c r="Y181" s="546">
        <f>+'Pivot-HS Student % of Undergrad'!AG103*100</f>
        <v>1.0966676291389519</v>
      </c>
      <c r="Z181" s="556">
        <f>+GETPIVOTDATA("Sum of Old-HS % of Total",'Pivot-HS Student % of Undergrad'!$A$3,"State","TX","Category2","Two-Year")</f>
        <v>5.2109815762028715E-2</v>
      </c>
      <c r="AA181" s="546">
        <f>+'Pivot-HS Student % of Undergrad'!AH103*100</f>
        <v>1.205134884460237</v>
      </c>
      <c r="AC181" s="251" t="s">
        <v>489</v>
      </c>
      <c r="AD181" s="266">
        <f>+Tables!V119+Tables!AD150</f>
        <v>0</v>
      </c>
      <c r="AE181" s="266">
        <f>+Tables!W119+Tables!AE150</f>
        <v>292780.21555555559</v>
      </c>
      <c r="AF181" s="266">
        <f>+Tables!X119+Tables!AF150</f>
        <v>96613.44666666667</v>
      </c>
      <c r="AG181" s="266">
        <f>+Tables!Y119+Tables!AG150</f>
        <v>14043.228888888891</v>
      </c>
      <c r="AH181" s="264">
        <f>+Tables!Z119+Tables!AH150</f>
        <v>403436.89111111121</v>
      </c>
      <c r="AJ181" s="124" t="s">
        <v>489</v>
      </c>
      <c r="AK181" s="84">
        <f>+B181</f>
        <v>0</v>
      </c>
      <c r="AL181" s="549">
        <f>+'FTE Pivot for regular counts'!AB167</f>
        <v>240342.57888888891</v>
      </c>
      <c r="AM181" s="549">
        <f>+'FTE Pivot for regular counts'!AC167</f>
        <v>83980.107777777783</v>
      </c>
      <c r="AN181" s="549">
        <f>+'FTE Pivot for regular counts'!AD167</f>
        <v>14363.986666666666</v>
      </c>
      <c r="AO181" s="549">
        <f>+'FTE Pivot for regular counts'!AE167</f>
        <v>80275.305555555577</v>
      </c>
      <c r="AP181" s="84">
        <f>+J181</f>
        <v>418961.97888888896</v>
      </c>
      <c r="AY181" s="124" t="s">
        <v>489</v>
      </c>
      <c r="AZ181" s="84">
        <f>+Tables!V119+Tables!AD150</f>
        <v>0</v>
      </c>
      <c r="BA181" s="549">
        <f>+'FTE Pivot for regular counts'!AB170</f>
        <v>229907.0633333333</v>
      </c>
      <c r="BB181" s="549">
        <f>+'FTE Pivot for regular counts'!AC170</f>
        <v>81403.992222222223</v>
      </c>
      <c r="BC181" s="549">
        <f>+'FTE Pivot for regular counts'!AD170</f>
        <v>13940.695555555556</v>
      </c>
      <c r="BD181" s="549">
        <f>+'FTE Pivot for regular counts'!AE170</f>
        <v>78185.140000000014</v>
      </c>
      <c r="BE181" s="84">
        <f>+Tables!Z119+Tables!AH150</f>
        <v>403436.89111111121</v>
      </c>
    </row>
    <row r="182" spans="1:62" ht="15" customHeight="1">
      <c r="A182" s="1" t="s">
        <v>490</v>
      </c>
      <c r="B182" s="33">
        <f>+Tables!B120+Tables!B151</f>
        <v>0</v>
      </c>
      <c r="C182" s="486">
        <f>+GETPIVOTDATA("Sum of New-HS % of Total",'Pivot-HS Student % of Undergrad'!$A$3,"State","VA","Category",7,"Category2","Two-Year")</f>
        <v>0</v>
      </c>
      <c r="D182" s="428">
        <f>+Tables!C120+Tables!C151</f>
        <v>58434.233333333337</v>
      </c>
      <c r="E182" s="486">
        <f>+GETPIVOTDATA("Sum of New-HS % of Total",'Pivot-HS Student % of Undergrad'!$A$3,"State","VA","Category",8,"Category2","Two-Year")</f>
        <v>3.4860843558028487E-2</v>
      </c>
      <c r="F182" s="428">
        <f>+Tables!D120+Tables!D151</f>
        <v>34618.466666666667</v>
      </c>
      <c r="G182" s="486">
        <f>+GETPIVOTDATA("Sum of New-HS % of Total",'Pivot-HS Student % of Undergrad'!$A$3,"State","VA","Category",9,"Category2","Two-Year")</f>
        <v>0.14180100408837673</v>
      </c>
      <c r="H182" s="428">
        <f>+Tables!E120+Tables!E151</f>
        <v>12267.699999999999</v>
      </c>
      <c r="I182" s="486">
        <f>+GETPIVOTDATA("Sum of New-HS % of Total",'Pivot-HS Student % of Undergrad'!$A$3,"State","VA","Category",10,"Category2","Two-Year")</f>
        <v>0.18467194339607262</v>
      </c>
      <c r="J182" s="428">
        <f>+Tables!F120+Tables!F151</f>
        <v>105320.40000000001</v>
      </c>
      <c r="K182" s="486">
        <f>+GETPIVOTDATA("Sum of New-HS % of Total",'Pivot-HS Student % of Undergrad'!$A$3,"State","VA","Category2","Group2")</f>
        <v>8.7461688333884027E-2</v>
      </c>
      <c r="Q182" s="1" t="s">
        <v>490</v>
      </c>
      <c r="R182" s="486">
        <f>+GETPIVOTDATA("Sum of Old-HS % of Total",'Pivot-HS Student % of Undergrad'!$A$3,"State","VA","Category",7,"Category2","Two-Year")</f>
        <v>0</v>
      </c>
      <c r="S182" s="546" t="e">
        <f>+'Pivot-HS Student % of Undergrad'!AD110*100</f>
        <v>#VALUE!</v>
      </c>
      <c r="T182" s="556">
        <f>+GETPIVOTDATA("Sum of Old-HS % of Total",'Pivot-HS Student % of Undergrad'!$A$3,"State","VA","Category",8,"Category2","Two-Year")</f>
        <v>3.5981548108429434E-2</v>
      </c>
      <c r="U182" s="546">
        <f>+'Pivot-HS Student % of Undergrad'!AE110*100</f>
        <v>-0.11207045504009472</v>
      </c>
      <c r="V182" s="556">
        <f>+GETPIVOTDATA("Sum of Old-HS % of Total",'Pivot-HS Student % of Undergrad'!$A$3,"State","VA","Category",9,"Category2","Two-Year")</f>
        <v>0.13511057157700473</v>
      </c>
      <c r="W182" s="546">
        <f>+'Pivot-HS Student % of Undergrad'!AF110*100</f>
        <v>0.66904325113719965</v>
      </c>
      <c r="X182" s="556">
        <f>+GETPIVOTDATA("Sum of Old-HS % of Total",'Pivot-HS Student % of Undergrad'!$A$3,"State","VA","Category",10,"Category2","Two-Year")</f>
        <v>0.17464194675090772</v>
      </c>
      <c r="Y182" s="546">
        <f>+'Pivot-HS Student % of Undergrad'!AG110*100</f>
        <v>1.0029996645164907</v>
      </c>
      <c r="Z182" s="556">
        <f>+GETPIVOTDATA("Sum of Old-HS % of Total",'Pivot-HS Student % of Undergrad'!$A$3,"State","VA","Category2","Two-Year")</f>
        <v>8.4697351162945911E-2</v>
      </c>
      <c r="AA182" s="546">
        <f>+'Pivot-HS Student % of Undergrad'!AH110*100</f>
        <v>0.27643371709381165</v>
      </c>
      <c r="AC182" s="251" t="s">
        <v>490</v>
      </c>
      <c r="AD182" s="266">
        <f>+Tables!V120+Tables!AD151</f>
        <v>0</v>
      </c>
      <c r="AE182" s="266">
        <f>+Tables!W120+Tables!AE151</f>
        <v>55625.73333333333</v>
      </c>
      <c r="AF182" s="266">
        <f>+Tables!X120+Tables!AF151</f>
        <v>33082.04</v>
      </c>
      <c r="AG182" s="266">
        <f>+Tables!Y120+Tables!AG151</f>
        <v>11585.8</v>
      </c>
      <c r="AH182" s="264">
        <f>+Tables!Z120+Tables!AH151</f>
        <v>100293.57333333333</v>
      </c>
      <c r="AJ182" s="122" t="s">
        <v>490</v>
      </c>
      <c r="AK182" s="84">
        <f>+B182</f>
        <v>0</v>
      </c>
      <c r="AL182" s="84">
        <f>+D182</f>
        <v>58434.233333333337</v>
      </c>
      <c r="AM182" s="84">
        <f>+F182</f>
        <v>34618.466666666667</v>
      </c>
      <c r="AN182" s="549">
        <v>1022</v>
      </c>
      <c r="AO182" s="549">
        <f>+AP182-AN182</f>
        <v>104298.40000000001</v>
      </c>
      <c r="AP182" s="84">
        <f>+J182</f>
        <v>105320.40000000001</v>
      </c>
      <c r="AY182" s="124" t="s">
        <v>490</v>
      </c>
      <c r="AZ182" s="84">
        <f>+Tables!V120+Tables!AD151</f>
        <v>0</v>
      </c>
      <c r="BA182" s="84">
        <f>+Tables!W120+Tables!AE151</f>
        <v>55625.73333333333</v>
      </c>
      <c r="BB182" s="84">
        <f>+Tables!X120+Tables!AF151</f>
        <v>33082.04</v>
      </c>
      <c r="BC182" s="549">
        <v>928</v>
      </c>
      <c r="BD182" s="549">
        <f>+BE182-BC182</f>
        <v>99365.573333333334</v>
      </c>
      <c r="BE182" s="84">
        <f>+Tables!Z120+Tables!AH151</f>
        <v>100293.57333333333</v>
      </c>
    </row>
    <row r="183" spans="1:62" ht="15" customHeight="1">
      <c r="A183" s="3" t="s">
        <v>491</v>
      </c>
      <c r="B183" s="9">
        <f>+Tables!B121+Tables!B152</f>
        <v>2805.6333333333332</v>
      </c>
      <c r="C183" s="489">
        <f>+GETPIVOTDATA("Sum of New-HS % of Total",'Pivot-HS Student % of Undergrad'!$A$3,"State","WV","Category",7,"Category2","Two-Year")</f>
        <v>4.1024605258468079E-2</v>
      </c>
      <c r="D183" s="429">
        <f>+Tables!C121+Tables!C152</f>
        <v>0</v>
      </c>
      <c r="E183" s="489">
        <f>+GETPIVOTDATA("Sum of New-HS % of Total",'Pivot-HS Student % of Undergrad'!$A$3,"State","WV","Category",8,"Category2","Two-Year")</f>
        <v>0</v>
      </c>
      <c r="F183" s="429">
        <f>+Tables!D121+Tables!D152</f>
        <v>1874.5333333333333</v>
      </c>
      <c r="G183" s="489">
        <f>+GETPIVOTDATA("Sum of New-HS % of Total",'Pivot-HS Student % of Undergrad'!$A$3,"State","WV","Category",9,"Category2","Two-Year")</f>
        <v>7.4827512625364537E-2</v>
      </c>
      <c r="H183" s="429">
        <f>+Tables!E121+Tables!E152</f>
        <v>11191.916666666668</v>
      </c>
      <c r="I183" s="489">
        <f>+GETPIVOTDATA("Sum of New-HS % of Total",'Pivot-HS Student % of Undergrad'!$A$3,"State","WV","Category",10,"Category2","Two-Year")</f>
        <v>5.235117607201626E-2</v>
      </c>
      <c r="J183" s="429">
        <f>+Tables!F121+Tables!F152</f>
        <v>15872.083333333334</v>
      </c>
      <c r="K183" s="489">
        <f>+GETPIVOTDATA("Sum of New-HS % of Total",'Pivot-HS Student % of Undergrad'!$A$3,"State","WV","Category2","Group2")</f>
        <v>5.3003543958207541E-2</v>
      </c>
      <c r="Q183" s="3" t="s">
        <v>491</v>
      </c>
      <c r="R183" s="489">
        <f>+GETPIVOTDATA("Sum of Old-HS % of Total",'Pivot-HS Student % of Undergrad'!$A$3,"State","WV","Category",7,"Category2","Two-Year")</f>
        <v>4.4743922530787378E-2</v>
      </c>
      <c r="S183" s="555">
        <f>+'Pivot-HS Student % of Undergrad'!AD117*100</f>
        <v>-0.37193172723192991</v>
      </c>
      <c r="T183" s="557">
        <f>+GETPIVOTDATA("Sum of Old-HS % of Total",'Pivot-HS Student % of Undergrad'!$A$3,"State","WV","Category",8,"Category2","Two-Year")</f>
        <v>0</v>
      </c>
      <c r="U183" s="555" t="e">
        <f>+'Pivot-HS Student % of Undergrad'!AE117*100</f>
        <v>#VALUE!</v>
      </c>
      <c r="V183" s="557">
        <f>+GETPIVOTDATA("Sum of Old-HS % of Total",'Pivot-HS Student % of Undergrad'!$A$3,"State","WV","Category",9,"Category2","Two-Year")</f>
        <v>8.3505284122512694E-2</v>
      </c>
      <c r="W183" s="555">
        <f>+'Pivot-HS Student % of Undergrad'!AF117*100</f>
        <v>-0.86777714971481568</v>
      </c>
      <c r="X183" s="557">
        <f>+GETPIVOTDATA("Sum of Old-HS % of Total",'Pivot-HS Student % of Undergrad'!$A$3,"State","WV","Category",10,"Category2","Two-Year")</f>
        <v>5.2396477237009964E-2</v>
      </c>
      <c r="Y183" s="566">
        <f>+'Pivot-HS Student % of Undergrad'!AG117*100</f>
        <v>-4.5301164993703791E-3</v>
      </c>
      <c r="Z183" s="557">
        <f>+GETPIVOTDATA("Sum of Old-HS % of Total",'Pivot-HS Student % of Undergrad'!$A$3,"State","WV","Category2","Two-Year")</f>
        <v>5.4738495975205539E-2</v>
      </c>
      <c r="AA183" s="555">
        <f>+'Pivot-HS Student % of Undergrad'!AH117*100</f>
        <v>-0.17349520169979982</v>
      </c>
      <c r="AC183" s="565" t="s">
        <v>491</v>
      </c>
      <c r="AD183" s="269">
        <f>+Tables!V121+Tables!AD152</f>
        <v>2812.3</v>
      </c>
      <c r="AE183" s="269">
        <f>+Tables!W121+Tables!AE152</f>
        <v>0</v>
      </c>
      <c r="AF183" s="269">
        <f>+Tables!X121+Tables!AF152</f>
        <v>1857.7666666666667</v>
      </c>
      <c r="AG183" s="269">
        <f>+Tables!Y121+Tables!AG152</f>
        <v>10817.266666666666</v>
      </c>
      <c r="AH183" s="564">
        <f>+Tables!Z121+Tables!AH152</f>
        <v>15487.333333333332</v>
      </c>
      <c r="AI183" s="3"/>
      <c r="AJ183" s="25" t="s">
        <v>491</v>
      </c>
      <c r="AK183" s="84">
        <f>+B183</f>
        <v>2805.6333333333332</v>
      </c>
      <c r="AL183" s="84">
        <f>+D183</f>
        <v>0</v>
      </c>
      <c r="AM183" s="84">
        <f>+F183</f>
        <v>1874.5333333333333</v>
      </c>
      <c r="AN183" s="84">
        <f>+H183</f>
        <v>11191.916666666668</v>
      </c>
      <c r="AO183" s="249"/>
      <c r="AP183" s="84">
        <f>+J183</f>
        <v>15872.083333333334</v>
      </c>
      <c r="AQ183" s="25"/>
      <c r="AV183" s="25"/>
      <c r="AW183" s="25"/>
      <c r="AX183" s="25"/>
      <c r="AY183" s="122" t="s">
        <v>491</v>
      </c>
      <c r="AZ183" s="84">
        <f>+Tables!V121+Tables!AD152</f>
        <v>2812.3</v>
      </c>
      <c r="BA183" s="84">
        <f>+Tables!W121+Tables!AE152</f>
        <v>0</v>
      </c>
      <c r="BB183" s="84">
        <f>+Tables!X121+Tables!AF152</f>
        <v>1857.7666666666667</v>
      </c>
      <c r="BC183" s="84">
        <f>+Tables!Y121+Tables!AG152</f>
        <v>10817.266666666666</v>
      </c>
      <c r="BD183" s="124"/>
      <c r="BE183" s="84">
        <f>+Tables!Z121+Tables!AH152</f>
        <v>15487.333333333332</v>
      </c>
      <c r="BF183" s="25"/>
      <c r="BG183" s="25"/>
      <c r="BH183" s="25"/>
      <c r="BI183" s="25"/>
      <c r="BJ183" s="25"/>
    </row>
    <row r="184" spans="1:62" s="25" customFormat="1" ht="46.5" customHeight="1">
      <c r="A184" s="684" t="s">
        <v>105</v>
      </c>
      <c r="B184" s="684"/>
      <c r="C184" s="684"/>
      <c r="D184" s="684"/>
      <c r="E184" s="684"/>
      <c r="F184" s="684"/>
      <c r="G184" s="684"/>
      <c r="H184" s="684"/>
      <c r="I184" s="684"/>
      <c r="J184" s="684"/>
      <c r="K184" s="685"/>
      <c r="L184" s="127"/>
      <c r="M184" s="127"/>
      <c r="Q184" s="1"/>
      <c r="R184" s="1"/>
      <c r="S184" s="1"/>
    </row>
    <row r="185" spans="1:62">
      <c r="J185" s="1"/>
      <c r="K185" s="424" t="s">
        <v>941</v>
      </c>
      <c r="L185" s="1"/>
      <c r="M185" s="471"/>
      <c r="AF185" s="124"/>
      <c r="AG185" s="124"/>
      <c r="AH185" s="124"/>
      <c r="AI185" s="124"/>
      <c r="AJ185" s="124"/>
      <c r="AK185" s="124"/>
      <c r="AL185" s="124"/>
      <c r="AQ185" s="124"/>
      <c r="AR185" s="124"/>
      <c r="AS185" s="124"/>
      <c r="AT185" s="124"/>
      <c r="AU185" s="124"/>
      <c r="AV185" s="124"/>
      <c r="AW185" s="124"/>
      <c r="BB185" s="124"/>
      <c r="BC185" s="124"/>
    </row>
    <row r="186" spans="1:62" ht="18">
      <c r="A186" s="139" t="s">
        <v>429</v>
      </c>
      <c r="B186" s="22"/>
      <c r="C186" s="22"/>
      <c r="D186" s="22"/>
      <c r="E186" s="22"/>
      <c r="F186" s="22"/>
      <c r="G186" s="22"/>
      <c r="H186" s="130"/>
      <c r="I186" s="22"/>
      <c r="J186" s="1"/>
      <c r="K186" s="1"/>
      <c r="L186" s="1"/>
      <c r="M186" s="471"/>
      <c r="S186" s="424"/>
      <c r="AL186" s="124"/>
      <c r="AQ186" s="124"/>
      <c r="AR186" s="124"/>
      <c r="AS186" s="159"/>
      <c r="AT186" s="157"/>
      <c r="AU186" s="84"/>
      <c r="AV186" s="157"/>
      <c r="AW186" s="124"/>
      <c r="BB186" s="124"/>
      <c r="BC186" s="124"/>
    </row>
    <row r="187" spans="1:62" ht="15.75">
      <c r="A187" s="21"/>
      <c r="B187" s="22"/>
      <c r="C187" s="22"/>
      <c r="D187" s="22"/>
      <c r="E187" s="22"/>
      <c r="F187" s="22"/>
      <c r="G187" s="22"/>
      <c r="H187" s="130"/>
      <c r="I187" s="22"/>
      <c r="J187" s="1"/>
      <c r="K187" s="1"/>
      <c r="L187" s="1"/>
      <c r="M187" s="471"/>
      <c r="S187" s="424"/>
      <c r="AA187" s="151" t="s">
        <v>438</v>
      </c>
      <c r="AB187" s="544" t="s">
        <v>929</v>
      </c>
      <c r="AL187" s="124"/>
      <c r="AM187" s="237" t="s">
        <v>440</v>
      </c>
      <c r="AN187" s="124"/>
      <c r="AO187" s="124"/>
      <c r="AP187" s="124"/>
      <c r="AQ187" s="124"/>
      <c r="AR187" s="124"/>
      <c r="AS187" s="159"/>
      <c r="AT187" s="157"/>
      <c r="AU187" s="84"/>
      <c r="AV187" s="157"/>
      <c r="AW187" s="124"/>
      <c r="AX187" s="237" t="s">
        <v>440</v>
      </c>
      <c r="AY187" s="124"/>
      <c r="AZ187" s="124"/>
      <c r="BA187" s="124"/>
      <c r="BB187" s="124"/>
      <c r="BC187" s="124"/>
    </row>
    <row r="188" spans="1:62" ht="15.75">
      <c r="A188" s="44" t="s">
        <v>435</v>
      </c>
      <c r="B188" s="22"/>
      <c r="C188" s="22"/>
      <c r="D188" s="22"/>
      <c r="E188" s="22"/>
      <c r="F188" s="22"/>
      <c r="G188" s="22"/>
      <c r="H188" s="130"/>
      <c r="I188" s="22"/>
      <c r="J188" s="1"/>
      <c r="K188" s="1"/>
      <c r="L188" s="1"/>
      <c r="M188" s="471"/>
      <c r="S188" s="424"/>
      <c r="AA188" s="251"/>
      <c r="AB188" s="149"/>
      <c r="AL188" s="124"/>
      <c r="AM188" s="238" t="s">
        <v>685</v>
      </c>
      <c r="AN188" s="124"/>
      <c r="AO188" s="124"/>
      <c r="AP188" s="124"/>
      <c r="AQ188" s="124"/>
      <c r="AR188" s="124"/>
      <c r="AS188" s="159"/>
      <c r="AT188" s="157"/>
      <c r="AU188" s="84"/>
      <c r="AV188" s="157"/>
      <c r="AW188" s="124"/>
      <c r="AX188" s="238" t="s">
        <v>438</v>
      </c>
      <c r="AY188" s="124"/>
      <c r="AZ188" s="124"/>
      <c r="BA188" s="124"/>
      <c r="BB188" s="124"/>
      <c r="BC188" s="124"/>
    </row>
    <row r="189" spans="1:62" ht="15.75">
      <c r="A189" s="44" t="s">
        <v>933</v>
      </c>
      <c r="B189" s="22"/>
      <c r="C189" s="22"/>
      <c r="D189" s="22"/>
      <c r="E189" s="22"/>
      <c r="F189" s="22"/>
      <c r="G189" s="22"/>
      <c r="H189" s="130"/>
      <c r="I189" s="22"/>
      <c r="J189" s="1"/>
      <c r="K189" s="1"/>
      <c r="L189" s="1"/>
      <c r="M189" s="471"/>
      <c r="Q189" s="151" t="s">
        <v>438</v>
      </c>
      <c r="S189" s="424"/>
      <c r="AA189" s="251"/>
      <c r="AB189" s="251" t="s">
        <v>930</v>
      </c>
      <c r="AL189" s="124"/>
      <c r="AM189" s="124" t="s">
        <v>102</v>
      </c>
      <c r="AN189" s="124"/>
      <c r="AO189" s="124"/>
      <c r="AP189" s="124"/>
      <c r="AQ189" s="124"/>
      <c r="AR189" s="124"/>
      <c r="AS189" s="159"/>
      <c r="AT189" s="157"/>
      <c r="AU189" s="84"/>
      <c r="AV189" s="157"/>
      <c r="AW189" s="124"/>
      <c r="AX189" s="124" t="s">
        <v>930</v>
      </c>
      <c r="AY189" s="124"/>
      <c r="AZ189" s="124"/>
      <c r="BA189" s="124"/>
      <c r="BB189" s="124"/>
      <c r="BC189" s="124"/>
    </row>
    <row r="190" spans="1:62">
      <c r="C190" s="3"/>
      <c r="D190" s="3"/>
      <c r="E190" s="3"/>
      <c r="F190" s="3"/>
      <c r="G190" s="3"/>
      <c r="H190" s="87"/>
      <c r="I190" s="3"/>
      <c r="J190" s="1"/>
      <c r="K190" s="1"/>
      <c r="L190" s="1"/>
      <c r="M190" s="471"/>
      <c r="Q190" s="562" t="s">
        <v>937</v>
      </c>
      <c r="R190" s="3"/>
      <c r="S190" s="3"/>
      <c r="T190" s="3"/>
      <c r="U190" s="3"/>
      <c r="V190" s="3"/>
      <c r="W190" s="3"/>
      <c r="X190" s="3"/>
      <c r="Y190" s="3"/>
      <c r="AA190" s="251"/>
      <c r="AB190" s="149" t="s">
        <v>440</v>
      </c>
      <c r="AL190" s="124"/>
      <c r="AM190" s="237" t="s">
        <v>440</v>
      </c>
      <c r="AN190" s="124"/>
      <c r="AO190" s="124"/>
      <c r="AP190" s="124"/>
      <c r="AQ190" s="124"/>
      <c r="AR190" s="124"/>
      <c r="AS190" s="159"/>
      <c r="AT190" s="157"/>
      <c r="AU190" s="84"/>
      <c r="AV190" s="157"/>
      <c r="AW190" s="124"/>
      <c r="AX190" s="237" t="s">
        <v>440</v>
      </c>
      <c r="AY190" s="124"/>
      <c r="AZ190" s="124"/>
      <c r="BA190" s="124"/>
      <c r="BB190" s="124"/>
      <c r="BC190" s="124"/>
    </row>
    <row r="191" spans="1:62" ht="28.5" customHeight="1">
      <c r="A191" s="46"/>
      <c r="B191" s="482">
        <v>1</v>
      </c>
      <c r="D191" s="537">
        <v>2</v>
      </c>
      <c r="F191" s="548" t="s">
        <v>420</v>
      </c>
      <c r="G191" s="22"/>
      <c r="H191" s="538" t="s">
        <v>425</v>
      </c>
      <c r="J191" s="1"/>
      <c r="K191" s="1"/>
      <c r="L191" s="1"/>
      <c r="M191" s="471"/>
      <c r="Q191" s="77"/>
      <c r="R191" s="77" t="s">
        <v>942</v>
      </c>
      <c r="S191" s="25"/>
      <c r="T191" s="563">
        <v>2</v>
      </c>
      <c r="U191" s="25"/>
      <c r="V191" s="563" t="s">
        <v>943</v>
      </c>
      <c r="W191" s="25"/>
      <c r="X191" s="563" t="s">
        <v>12</v>
      </c>
      <c r="Y191" s="25"/>
      <c r="AA191" s="251"/>
      <c r="AB191" s="254" t="s">
        <v>453</v>
      </c>
      <c r="AC191" s="255"/>
      <c r="AD191" s="256"/>
      <c r="AE191" s="257"/>
      <c r="AL191" s="124"/>
      <c r="AM191" s="241" t="s">
        <v>453</v>
      </c>
      <c r="AN191" s="242"/>
      <c r="AO191" s="243"/>
      <c r="AP191" s="244"/>
      <c r="AQ191" s="124"/>
      <c r="AR191" s="124"/>
      <c r="AS191" s="159"/>
      <c r="AT191" s="157"/>
      <c r="AU191" s="84"/>
      <c r="AV191" s="157"/>
      <c r="AW191" s="124"/>
      <c r="AX191" s="241" t="s">
        <v>453</v>
      </c>
      <c r="AY191" s="242"/>
      <c r="AZ191" s="243"/>
      <c r="BA191" s="244"/>
      <c r="BB191" s="124"/>
      <c r="BC191" s="124"/>
    </row>
    <row r="192" spans="1:62" ht="78" customHeight="1">
      <c r="A192" s="478"/>
      <c r="B192" s="480" t="s">
        <v>670</v>
      </c>
      <c r="C192" s="421" t="s">
        <v>93</v>
      </c>
      <c r="D192" s="480" t="s">
        <v>670</v>
      </c>
      <c r="E192" s="421" t="s">
        <v>93</v>
      </c>
      <c r="F192" s="480" t="s">
        <v>670</v>
      </c>
      <c r="G192" s="421" t="s">
        <v>93</v>
      </c>
      <c r="H192" s="480" t="s">
        <v>670</v>
      </c>
      <c r="I192" s="421" t="s">
        <v>93</v>
      </c>
      <c r="J192" s="1"/>
      <c r="K192" s="1"/>
      <c r="L192" s="1"/>
      <c r="M192" s="471"/>
      <c r="Q192" s="3"/>
      <c r="R192" s="552" t="s">
        <v>31</v>
      </c>
      <c r="S192" s="552" t="s">
        <v>33</v>
      </c>
      <c r="T192" s="554" t="s">
        <v>31</v>
      </c>
      <c r="U192" s="552" t="s">
        <v>33</v>
      </c>
      <c r="V192" s="554" t="s">
        <v>31</v>
      </c>
      <c r="W192" s="552" t="s">
        <v>33</v>
      </c>
      <c r="X192" s="554" t="s">
        <v>31</v>
      </c>
      <c r="Y192" s="552" t="s">
        <v>33</v>
      </c>
      <c r="AA192" s="251"/>
      <c r="AB192" s="260">
        <v>1</v>
      </c>
      <c r="AC192" s="261">
        <v>2</v>
      </c>
      <c r="AD192" s="258" t="s">
        <v>420</v>
      </c>
      <c r="AE192" s="259" t="s">
        <v>425</v>
      </c>
      <c r="AL192" s="124"/>
      <c r="AM192" s="247">
        <v>1</v>
      </c>
      <c r="AN192" s="248">
        <v>2</v>
      </c>
      <c r="AO192" s="245" t="s">
        <v>420</v>
      </c>
      <c r="AP192" s="246" t="s">
        <v>425</v>
      </c>
      <c r="AQ192" s="124"/>
      <c r="AR192" s="124"/>
      <c r="AS192" s="159"/>
      <c r="AT192" s="157"/>
      <c r="AU192" s="84"/>
      <c r="AV192" s="157"/>
      <c r="AW192" s="124"/>
      <c r="AX192" s="247">
        <v>1</v>
      </c>
      <c r="AY192" s="248">
        <v>2</v>
      </c>
      <c r="AZ192" s="245" t="s">
        <v>420</v>
      </c>
      <c r="BA192" s="246" t="s">
        <v>425</v>
      </c>
      <c r="BB192" s="124"/>
      <c r="BC192" s="124"/>
    </row>
    <row r="193" spans="1:55">
      <c r="A193" s="1" t="s">
        <v>476</v>
      </c>
      <c r="B193" s="428">
        <f>+Tables!G101+Tables!G132</f>
        <v>80427.148188888881</v>
      </c>
      <c r="C193" s="488">
        <f>+GETPIVOTDATA("Sum of New-HS % of Total",'Pivot-HS Student % of Undergrad'!$A$3,"Category",12,"Category2","Technical")</f>
        <v>3.2995379599332075E-2</v>
      </c>
      <c r="D193" s="430">
        <f>+Tables!H101+Tables!H132</f>
        <v>32588.614755555551</v>
      </c>
      <c r="E193" s="488">
        <f>+GETPIVOTDATA("Sum of New-HS % of Total",'Pivot-HS Student % of Undergrad'!$A$3,"Category",13,"Category2","Technical")</f>
        <v>5.0868152036830067E-2</v>
      </c>
      <c r="F193" s="428">
        <f>+Tables!I101+Tables!I132</f>
        <v>14183.737222222222</v>
      </c>
      <c r="G193" s="488">
        <f>+GETPIVOTDATA("Sum of New-HS % of Total",'Pivot-HS Student % of Undergrad'!$A$3,"Category",14,"Category2","Technical")</f>
        <v>0.12250811470743031</v>
      </c>
      <c r="H193" s="430">
        <f>+Tables!J101+Tables!J132</f>
        <v>127199.50016666666</v>
      </c>
      <c r="I193" s="488">
        <f>+GETPIVOTDATA("Sum of New-HS % of Total",'Pivot-HS Student % of Undergrad'!$A$3,"Category2","Group3")</f>
        <v>4.5677750230597537E-2</v>
      </c>
      <c r="J193" s="1"/>
      <c r="K193" s="1"/>
      <c r="L193" s="1"/>
      <c r="M193" s="471"/>
      <c r="Q193" s="25" t="s">
        <v>476</v>
      </c>
      <c r="R193" s="558">
        <f>+GETPIVOTDATA("Sum of Old-HS % of Total",'Pivot-HS Student % of Undergrad'!$A$3,"Category",12,"Category2","Technical")</f>
        <v>3.5854374770493969E-2</v>
      </c>
      <c r="S193" s="547">
        <f>+'Pivot-HS Student % of Undergrad'!AI125*100</f>
        <v>-0.28589951711618933</v>
      </c>
      <c r="T193" s="556">
        <f>+GETPIVOTDATA("Sum of Old-HS % of Total",'Pivot-HS Student % of Undergrad'!$A$3,"Category",13,"Category2","Technical")</f>
        <v>4.2552052628954722E-2</v>
      </c>
      <c r="U193" s="546">
        <f>+'Pivot-HS Student % of Undergrad'!AJ125*100</f>
        <v>0.83160994078753447</v>
      </c>
      <c r="V193" s="556">
        <f>+GETPIVOTDATA("Sum of Old-HS % of Total",'Pivot-HS Student % of Undergrad'!$A$3,"Category",14,"Category2","Technical")</f>
        <v>7.2167156016949507E-2</v>
      </c>
      <c r="W193" s="546">
        <f>+'Pivot-HS Student % of Undergrad'!AK125*100</f>
        <v>5.0340958690480804</v>
      </c>
      <c r="X193" s="556">
        <f>+GETPIVOTDATA("Sum of Old-HS % of Total",'Pivot-HS Student % of Undergrad'!$A$3,"Category2","Technical")</f>
        <v>4.0977332604550283E-2</v>
      </c>
      <c r="Y193" s="546">
        <f>+'Pivot-HS Student % of Undergrad'!AL125*100</f>
        <v>0.47004176260472541</v>
      </c>
      <c r="AA193" s="251" t="s">
        <v>476</v>
      </c>
      <c r="AB193" s="263">
        <f>+Tables!AA101+Tables!AI132</f>
        <v>77162.968155555543</v>
      </c>
      <c r="AC193" s="265">
        <f>+Tables!AB101+Tables!AJ132</f>
        <v>31904.988011111112</v>
      </c>
      <c r="AD193" s="263">
        <f>+Tables!AC101+Tables!AK132</f>
        <v>13100.702222222222</v>
      </c>
      <c r="AE193" s="265">
        <f>+Tables!AD101+Tables!AL132</f>
        <v>122168.65838888887</v>
      </c>
      <c r="AL193" s="124" t="s">
        <v>476</v>
      </c>
      <c r="AM193" s="85">
        <f>SUM(AM195:AM213)</f>
        <v>73712.324444444443</v>
      </c>
      <c r="AN193" s="84">
        <f>SUM(AN195:AN213)</f>
        <v>18190.247777777775</v>
      </c>
      <c r="AO193" s="84">
        <f>SUM(AO195:AO213)</f>
        <v>14183.737222222222</v>
      </c>
      <c r="AP193" s="84">
        <f>SUM(AP195:AP213)</f>
        <v>106086.30944444443</v>
      </c>
      <c r="AQ193" s="124"/>
      <c r="AR193" s="124"/>
      <c r="AS193" s="159"/>
      <c r="AT193" s="157"/>
      <c r="AU193" s="84"/>
      <c r="AV193" s="157"/>
      <c r="AW193" s="124" t="s">
        <v>476</v>
      </c>
      <c r="AX193" s="84">
        <f>SUM(AX195:AX213)</f>
        <v>70182.517777777757</v>
      </c>
      <c r="AY193" s="84">
        <f>SUM(AY195:AY213)</f>
        <v>17284.957777777781</v>
      </c>
      <c r="AZ193" s="84">
        <f>SUM(AZ195:AZ213)</f>
        <v>13100.702222222222</v>
      </c>
      <c r="BA193" s="84">
        <f>SUM(BA195:BA213)</f>
        <v>100568.17777777776</v>
      </c>
      <c r="BB193" s="124"/>
      <c r="BC193" s="124"/>
    </row>
    <row r="194" spans="1:55">
      <c r="B194" s="38"/>
      <c r="C194" s="120"/>
      <c r="D194" s="431"/>
      <c r="E194" s="120"/>
      <c r="F194" s="38"/>
      <c r="G194" s="120"/>
      <c r="H194" s="431"/>
      <c r="I194" s="120"/>
      <c r="J194" s="1"/>
      <c r="K194" s="1"/>
      <c r="L194" s="1"/>
      <c r="M194" s="471"/>
      <c r="Q194" s="25"/>
      <c r="R194" s="486"/>
      <c r="S194" s="546"/>
      <c r="T194" s="556"/>
      <c r="U194" s="546"/>
      <c r="V194" s="556"/>
      <c r="W194" s="546"/>
      <c r="X194" s="556"/>
      <c r="Y194" s="546"/>
      <c r="AA194" s="251"/>
      <c r="AB194" s="267"/>
      <c r="AC194" s="251"/>
      <c r="AD194" s="151"/>
      <c r="AE194" s="251"/>
      <c r="AL194" s="124"/>
      <c r="AM194" s="84"/>
      <c r="AN194" s="84"/>
      <c r="AO194" s="84"/>
      <c r="AP194" s="84"/>
      <c r="AQ194" s="124"/>
      <c r="AR194" s="124"/>
      <c r="AS194" s="159"/>
      <c r="AT194" s="157"/>
      <c r="AU194" s="84"/>
      <c r="AV194" s="157"/>
      <c r="AW194" s="124"/>
      <c r="AX194" s="84"/>
      <c r="AY194" s="84"/>
      <c r="AZ194" s="84"/>
      <c r="BA194" s="84"/>
      <c r="BB194" s="124"/>
      <c r="BC194" s="124"/>
    </row>
    <row r="195" spans="1:55">
      <c r="A195" s="1" t="s">
        <v>477</v>
      </c>
      <c r="B195" s="428">
        <f>+Tables!G103+Tables!G134</f>
        <v>1225.2666666666667</v>
      </c>
      <c r="C195" s="120">
        <f>+GETPIVOTDATA("Sum of New-HS % of Total",'Pivot-HS Student % of Undergrad'!$A$3,"State","AL","Category",12,"Category2","Technical")</f>
        <v>0</v>
      </c>
      <c r="D195" s="430">
        <f>+Tables!H103+Tables!H134</f>
        <v>1885.5</v>
      </c>
      <c r="E195" s="120">
        <f>+GETPIVOTDATA("Sum of New-HS % of Total",'Pivot-HS Student % of Undergrad'!$A$3,"State","AL","Category",13,"Category2","Technical")</f>
        <v>0</v>
      </c>
      <c r="F195" s="428">
        <f>+Tables!I103+Tables!I134</f>
        <v>0</v>
      </c>
      <c r="G195" s="120">
        <f>+GETPIVOTDATA("Sum of New-HS % of Total",'Pivot-HS Student % of Undergrad'!$A$3,"State","AL","Category",14,"Category2","Technical")</f>
        <v>0</v>
      </c>
      <c r="H195" s="430">
        <f>+Tables!J103+Tables!J134</f>
        <v>3110.7666666666664</v>
      </c>
      <c r="I195" s="120">
        <f>+GETPIVOTDATA("Sum of New-HS % of Total",'Pivot-HS Student % of Undergrad'!$A$3,"State","AL","Category2","Group3")</f>
        <v>0</v>
      </c>
      <c r="J195" s="1"/>
      <c r="K195" s="1"/>
      <c r="L195" s="1"/>
      <c r="M195" s="471"/>
      <c r="Q195" s="25" t="s">
        <v>477</v>
      </c>
      <c r="R195" s="486">
        <f>+GETPIVOTDATA("Sum of Old-HS % of Total",'Pivot-HS Student % of Undergrad'!$A$3,"State","AL","Category",12,"Category2","Technical")</f>
        <v>0</v>
      </c>
      <c r="S195" s="546" t="e">
        <f>+'Pivot-HS Student % of Undergrad'!AI12*100</f>
        <v>#VALUE!</v>
      </c>
      <c r="T195" s="556">
        <f>+GETPIVOTDATA("Sum of Old-HS % of Total",'Pivot-HS Student % of Undergrad'!$A$3,"State","AL","Category",13,"Category2","Technical")</f>
        <v>0</v>
      </c>
      <c r="U195" s="546" t="e">
        <f>+'Pivot-HS Student % of Undergrad'!AJ12*100</f>
        <v>#VALUE!</v>
      </c>
      <c r="V195" s="556">
        <f>+GETPIVOTDATA("Sum of Old-HS % of Total",'Pivot-HS Student % of Undergrad'!$A$3,"State","AL","Category",14,"Category2","Technical")</f>
        <v>0</v>
      </c>
      <c r="W195" s="546" t="e">
        <f>+'Pivot-HS Student % of Undergrad'!AK12*100</f>
        <v>#VALUE!</v>
      </c>
      <c r="X195" s="556">
        <f>+GETPIVOTDATA("Sum of Old-HS % of Total",'Pivot-HS Student % of Undergrad'!$A$3,"State","AL","Category2","Technical")</f>
        <v>0</v>
      </c>
      <c r="Y195" s="546" t="e">
        <f>+'Pivot-HS Student % of Undergrad'!AL12*100</f>
        <v>#VALUE!</v>
      </c>
      <c r="AA195" s="251" t="s">
        <v>477</v>
      </c>
      <c r="AB195" s="263">
        <f>+Tables!AA103+Tables!AI134</f>
        <v>1207.2</v>
      </c>
      <c r="AC195" s="265">
        <f>+Tables!AB103+Tables!AJ134</f>
        <v>1863.0666666666666</v>
      </c>
      <c r="AD195" s="263">
        <f>+Tables!AC103+Tables!AK134</f>
        <v>0</v>
      </c>
      <c r="AE195" s="265">
        <f>+Tables!AD103+Tables!AL134</f>
        <v>3070.2666666666664</v>
      </c>
      <c r="AL195" s="124" t="s">
        <v>477</v>
      </c>
      <c r="AM195" s="85">
        <f t="shared" ref="AM195:AM206" si="2">+B195</f>
        <v>1225.2666666666667</v>
      </c>
      <c r="AN195" s="84">
        <f t="shared" ref="AN195:AN206" si="3">+D195</f>
        <v>1885.5</v>
      </c>
      <c r="AO195" s="84">
        <f t="shared" ref="AO195:AO206" si="4">+F195</f>
        <v>0</v>
      </c>
      <c r="AP195" s="84">
        <f t="shared" ref="AP195:AP206" si="5">+H195</f>
        <v>3110.7666666666664</v>
      </c>
      <c r="AQ195" s="124"/>
      <c r="AR195" s="124"/>
      <c r="AS195" s="159"/>
      <c r="AT195" s="157"/>
      <c r="AU195" s="84"/>
      <c r="AV195" s="157"/>
      <c r="AW195" s="124" t="s">
        <v>477</v>
      </c>
      <c r="AX195" s="123">
        <f>+Tables!AA103+Tables!AI134</f>
        <v>1207.2</v>
      </c>
      <c r="AY195" s="122">
        <f>+Tables!AB103+Tables!AJ134</f>
        <v>1863.0666666666666</v>
      </c>
      <c r="AZ195" s="84">
        <f>+Tables!AC103+Tables!AK134</f>
        <v>0</v>
      </c>
      <c r="BA195" s="84">
        <f>+Tables!AD103+Tables!AL134</f>
        <v>3070.2666666666664</v>
      </c>
      <c r="BB195" s="124"/>
      <c r="BC195" s="124"/>
    </row>
    <row r="196" spans="1:55">
      <c r="A196" s="1" t="s">
        <v>478</v>
      </c>
      <c r="B196" s="428">
        <f>+Tables!G104+Tables!G135</f>
        <v>0</v>
      </c>
      <c r="C196" s="120">
        <f>+GETPIVOTDATA("Sum of New-HS % of Total",'Pivot-HS Student % of Undergrad'!$A$3,"State","AR","Category",12,"Category2","Technical")</f>
        <v>0</v>
      </c>
      <c r="D196" s="430">
        <f>+Tables!H104+Tables!H135</f>
        <v>0</v>
      </c>
      <c r="E196" s="120">
        <f>+GETPIVOTDATA("Sum of New-HS % of Total",'Pivot-HS Student % of Undergrad'!$A$3,"State","AR","Category",13,"Category2","Technical")</f>
        <v>0</v>
      </c>
      <c r="F196" s="428">
        <f>+Tables!I104+Tables!I135</f>
        <v>0</v>
      </c>
      <c r="G196" s="120">
        <f>+GETPIVOTDATA("Sum of New-HS % of Total",'Pivot-HS Student % of Undergrad'!$A$3,"State","AR","Category",14,"Category2","Technical")</f>
        <v>0</v>
      </c>
      <c r="H196" s="430">
        <f>+Tables!J104+Tables!J135</f>
        <v>0</v>
      </c>
      <c r="I196" s="120">
        <f>+GETPIVOTDATA("Sum of New-HS % of Total",'Pivot-HS Student % of Undergrad'!$A$3,"State","AR","Category2","Group3")</f>
        <v>0</v>
      </c>
      <c r="J196" s="1"/>
      <c r="K196" s="1"/>
      <c r="L196" s="1"/>
      <c r="M196" s="471"/>
      <c r="Q196" s="74" t="s">
        <v>478</v>
      </c>
      <c r="R196" s="486">
        <f>+GETPIVOTDATA("Sum of Old-HS % of Total",'Pivot-HS Student % of Undergrad'!$A$3,"State","AR","Category",12,"Category2","Technical")</f>
        <v>0</v>
      </c>
      <c r="S196" s="560" t="e">
        <f>+'Pivot-HS Student % of Undergrad'!AI19*100</f>
        <v>#VALUE!</v>
      </c>
      <c r="T196" s="556">
        <f>+GETPIVOTDATA("Sum of Old-HS % of Total",'Pivot-HS Student % of Undergrad'!$A$3,"State","AR","Category",13,"Category2","Technical")</f>
        <v>0</v>
      </c>
      <c r="U196" s="560" t="e">
        <f>+'Pivot-HS Student % of Undergrad'!AJ19*100</f>
        <v>#VALUE!</v>
      </c>
      <c r="V196" s="556">
        <f>+GETPIVOTDATA("Sum of Old-HS % of Total",'Pivot-HS Student % of Undergrad'!$A$3,"State","AR","Category",14,"Category2","Technical")</f>
        <v>0</v>
      </c>
      <c r="W196" s="560" t="e">
        <f>+'Pivot-HS Student % of Undergrad'!AK19*100</f>
        <v>#VALUE!</v>
      </c>
      <c r="X196" s="556">
        <f>+GETPIVOTDATA("Sum of Old-HS % of Total",'Pivot-HS Student % of Undergrad'!$A$3,"State","AR","Category2","Technical")</f>
        <v>0</v>
      </c>
      <c r="Y196" s="560" t="e">
        <f>+'Pivot-HS Student % of Undergrad'!AL19*100</f>
        <v>#VALUE!</v>
      </c>
      <c r="AA196" s="251" t="s">
        <v>478</v>
      </c>
      <c r="AB196" s="266">
        <f>+Tables!AA104+Tables!AI135</f>
        <v>0</v>
      </c>
      <c r="AC196" s="268">
        <f>+Tables!AB104+Tables!AJ135</f>
        <v>0</v>
      </c>
      <c r="AD196" s="266">
        <f>+Tables!AC104+Tables!AK135</f>
        <v>0</v>
      </c>
      <c r="AE196" s="268">
        <f>+Tables!AD104+Tables!AL135</f>
        <v>0</v>
      </c>
      <c r="AL196" s="124" t="s">
        <v>478</v>
      </c>
      <c r="AM196" s="85">
        <f t="shared" si="2"/>
        <v>0</v>
      </c>
      <c r="AN196" s="84">
        <f t="shared" si="3"/>
        <v>0</v>
      </c>
      <c r="AO196" s="84">
        <f t="shared" si="4"/>
        <v>0</v>
      </c>
      <c r="AP196" s="84">
        <f t="shared" si="5"/>
        <v>0</v>
      </c>
      <c r="AQ196" s="124"/>
      <c r="AR196" s="124"/>
      <c r="AS196" s="159"/>
      <c r="AT196" s="157"/>
      <c r="AU196" s="84"/>
      <c r="AV196" s="157"/>
      <c r="AW196" s="124" t="s">
        <v>478</v>
      </c>
      <c r="AX196" s="123">
        <f>+Tables!AA104+Tables!AI135</f>
        <v>0</v>
      </c>
      <c r="AY196" s="122">
        <f>+Tables!AB104+Tables!AJ135</f>
        <v>0</v>
      </c>
      <c r="AZ196" s="84">
        <f>+Tables!AC104+Tables!AK135</f>
        <v>0</v>
      </c>
      <c r="BA196" s="84">
        <f>+Tables!AD104+Tables!AL135</f>
        <v>0</v>
      </c>
      <c r="BB196" s="124"/>
      <c r="BC196" s="124"/>
    </row>
    <row r="197" spans="1:55">
      <c r="A197" s="1" t="s">
        <v>515</v>
      </c>
      <c r="B197" s="428">
        <f>+Tables!G105+Tables!G136</f>
        <v>0</v>
      </c>
      <c r="C197" s="120">
        <f>+GETPIVOTDATA("Sum of New-HS % of Total",'Pivot-HS Student % of Undergrad'!$A$3,"State","DE","Category",12,"Category2","Technical")</f>
        <v>0</v>
      </c>
      <c r="D197" s="430">
        <f>+Tables!H105+Tables!H136</f>
        <v>0</v>
      </c>
      <c r="E197" s="120">
        <f>+GETPIVOTDATA("Sum of New-HS % of Total",'Pivot-HS Student % of Undergrad'!$A$3,"State","DE","Category",13,"Category2","Technical")</f>
        <v>0</v>
      </c>
      <c r="F197" s="428">
        <f>+Tables!I105+Tables!I136</f>
        <v>0</v>
      </c>
      <c r="G197" s="120">
        <f>+GETPIVOTDATA("Sum of New-HS % of Total",'Pivot-HS Student % of Undergrad'!$A$3,"State","DE","Category",14,"Category2","Technical")</f>
        <v>0</v>
      </c>
      <c r="H197" s="430">
        <f>+Tables!J105+Tables!J136</f>
        <v>0</v>
      </c>
      <c r="I197" s="120">
        <f>+GETPIVOTDATA("Sum of New-HS % of Total",'Pivot-HS Student % of Undergrad'!$A$3,"State","DE","Category2","Group3")</f>
        <v>0</v>
      </c>
      <c r="J197" s="1"/>
      <c r="K197" s="1"/>
      <c r="L197" s="1"/>
      <c r="M197" s="471"/>
      <c r="Q197" s="25" t="s">
        <v>515</v>
      </c>
      <c r="R197" s="486">
        <f>+GETPIVOTDATA("Sum of Old-HS % of Total",'Pivot-HS Student % of Undergrad'!$A$3,"State","DE","Category",12,"Category2","Technical")</f>
        <v>0</v>
      </c>
      <c r="S197" s="546" t="e">
        <f>+'Pivot-HS Student % of Undergrad'!AI26*100</f>
        <v>#VALUE!</v>
      </c>
      <c r="T197" s="556">
        <f>+GETPIVOTDATA("Sum of Old-HS % of Total",'Pivot-HS Student % of Undergrad'!$A$3,"State","DE","Category",13,"Category2","Technical")</f>
        <v>0</v>
      </c>
      <c r="U197" s="546" t="e">
        <f>+'Pivot-HS Student % of Undergrad'!AJ26*100</f>
        <v>#VALUE!</v>
      </c>
      <c r="V197" s="556">
        <f>+GETPIVOTDATA("Sum of Old-HS % of Total",'Pivot-HS Student % of Undergrad'!$A$3,"State","DE","Category",14,"Category2","Technical")</f>
        <v>0</v>
      </c>
      <c r="W197" s="546" t="e">
        <f>+'Pivot-HS Student % of Undergrad'!AK26*100</f>
        <v>#VALUE!</v>
      </c>
      <c r="X197" s="556">
        <f>+GETPIVOTDATA("Sum of Old-HS % of Total",'Pivot-HS Student % of Undergrad'!$A$3,"State","DE","Category2","Technical")</f>
        <v>0</v>
      </c>
      <c r="Y197" s="546" t="e">
        <f>+'Pivot-HS Student % of Undergrad'!AL26*100</f>
        <v>#VALUE!</v>
      </c>
      <c r="AA197" s="251" t="s">
        <v>515</v>
      </c>
      <c r="AB197" s="266">
        <f>+Tables!AA105+Tables!AI136</f>
        <v>0</v>
      </c>
      <c r="AC197" s="268">
        <f>+Tables!AB105+Tables!AJ136</f>
        <v>0</v>
      </c>
      <c r="AD197" s="266">
        <f>+Tables!AC105+Tables!AK136</f>
        <v>0</v>
      </c>
      <c r="AE197" s="268">
        <f>+Tables!AD105+Tables!AL136</f>
        <v>0</v>
      </c>
      <c r="AL197" s="124" t="s">
        <v>515</v>
      </c>
      <c r="AM197" s="85">
        <f t="shared" si="2"/>
        <v>0</v>
      </c>
      <c r="AN197" s="84">
        <f t="shared" si="3"/>
        <v>0</v>
      </c>
      <c r="AO197" s="84">
        <f t="shared" si="4"/>
        <v>0</v>
      </c>
      <c r="AP197" s="84">
        <f t="shared" si="5"/>
        <v>0</v>
      </c>
      <c r="AQ197" s="124"/>
      <c r="AR197" s="124"/>
      <c r="AS197" s="159"/>
      <c r="AT197" s="157"/>
      <c r="AU197" s="84"/>
      <c r="AV197" s="157"/>
      <c r="AW197" s="124" t="s">
        <v>515</v>
      </c>
      <c r="AX197" s="123">
        <f>+Tables!AA105+Tables!AI136</f>
        <v>0</v>
      </c>
      <c r="AY197" s="122">
        <f>+Tables!AB105+Tables!AJ136</f>
        <v>0</v>
      </c>
      <c r="AZ197" s="84">
        <f>+Tables!AC105+Tables!AK136</f>
        <v>0</v>
      </c>
      <c r="BA197" s="84">
        <f>+Tables!AD105+Tables!AL136</f>
        <v>0</v>
      </c>
      <c r="BB197" s="124"/>
      <c r="BC197" s="124"/>
    </row>
    <row r="198" spans="1:55">
      <c r="A198" s="1" t="s">
        <v>479</v>
      </c>
      <c r="B198" s="428">
        <f>+Tables!G106+Tables!G137</f>
        <v>0</v>
      </c>
      <c r="C198" s="120">
        <f>+GETPIVOTDATA("Sum of New-HS % of Total",'Pivot-HS Student % of Undergrad'!$A$3,"State","FL","Category",12,"Category2","Technical")</f>
        <v>0</v>
      </c>
      <c r="D198" s="430">
        <f>+Tables!H106+Tables!H137</f>
        <v>0</v>
      </c>
      <c r="E198" s="120">
        <f>+GETPIVOTDATA("Sum of New-HS % of Total",'Pivot-HS Student % of Undergrad'!$A$3,"State","FL","Category",13,"Category2","Technical")</f>
        <v>0</v>
      </c>
      <c r="F198" s="428">
        <f>+Tables!I106+Tables!I137</f>
        <v>0</v>
      </c>
      <c r="G198" s="120">
        <f>+GETPIVOTDATA("Sum of New-HS % of Total",'Pivot-HS Student % of Undergrad'!$A$3,"State","FL","Category",14,"Category2","Technical")</f>
        <v>0</v>
      </c>
      <c r="H198" s="430">
        <f>+Tables!J106+Tables!J137</f>
        <v>0</v>
      </c>
      <c r="I198" s="120">
        <f>+GETPIVOTDATA("Sum of New-HS % of Total",'Pivot-HS Student % of Undergrad'!$A$3,"State","FL","Category2","Group3")</f>
        <v>0</v>
      </c>
      <c r="J198" s="1"/>
      <c r="K198" s="1"/>
      <c r="L198" s="1"/>
      <c r="M198" s="471"/>
      <c r="Q198" s="25" t="s">
        <v>479</v>
      </c>
      <c r="R198" s="486">
        <f>+GETPIVOTDATA("Sum of Old-HS % of Total",'Pivot-HS Student % of Undergrad'!$A$3,"State","FL","Category",12,"Category2","Technical")</f>
        <v>0</v>
      </c>
      <c r="S198" s="546" t="e">
        <f>+'Pivot-HS Student % of Undergrad'!AI33*100</f>
        <v>#VALUE!</v>
      </c>
      <c r="T198" s="556">
        <f>+GETPIVOTDATA("Sum of Old-HS % of Total",'Pivot-HS Student % of Undergrad'!$A$3,"State","FL","Category",13,"Category2","Technical")</f>
        <v>0</v>
      </c>
      <c r="U198" s="546" t="e">
        <f>+'Pivot-HS Student % of Undergrad'!AJ33*100</f>
        <v>#VALUE!</v>
      </c>
      <c r="V198" s="556">
        <f>+GETPIVOTDATA("Sum of Old-HS % of Total",'Pivot-HS Student % of Undergrad'!$A$3,"State","FL","Category",14,"Category2","Technical")</f>
        <v>0</v>
      </c>
      <c r="W198" s="546" t="e">
        <f>+'Pivot-HS Student % of Undergrad'!AK33*100</f>
        <v>#VALUE!</v>
      </c>
      <c r="X198" s="556">
        <f>+GETPIVOTDATA("Sum of Old-HS % of Total",'Pivot-HS Student % of Undergrad'!$A$3,"State","FL","Category2","Technical")</f>
        <v>0</v>
      </c>
      <c r="Y198" s="546" t="e">
        <f>+'Pivot-HS Student % of Undergrad'!AL33*100</f>
        <v>#VALUE!</v>
      </c>
      <c r="AA198" s="251" t="s">
        <v>479</v>
      </c>
      <c r="AB198" s="266">
        <f>+Tables!AA106+Tables!AI137</f>
        <v>0</v>
      </c>
      <c r="AC198" s="268">
        <f>+Tables!AB106+Tables!AJ137</f>
        <v>0</v>
      </c>
      <c r="AD198" s="266">
        <f>+Tables!AC106+Tables!AK137</f>
        <v>0</v>
      </c>
      <c r="AE198" s="268">
        <f>+Tables!AD106+Tables!AL137</f>
        <v>0</v>
      </c>
      <c r="AL198" s="124" t="s">
        <v>479</v>
      </c>
      <c r="AM198" s="85">
        <f t="shared" si="2"/>
        <v>0</v>
      </c>
      <c r="AN198" s="84">
        <f t="shared" si="3"/>
        <v>0</v>
      </c>
      <c r="AO198" s="84">
        <f t="shared" si="4"/>
        <v>0</v>
      </c>
      <c r="AP198" s="84">
        <f t="shared" si="5"/>
        <v>0</v>
      </c>
      <c r="AQ198" s="124"/>
      <c r="AR198" s="124"/>
      <c r="AS198" s="159"/>
      <c r="AT198" s="157"/>
      <c r="AU198" s="84"/>
      <c r="AV198" s="157"/>
      <c r="AW198" s="124" t="s">
        <v>479</v>
      </c>
      <c r="AX198" s="123">
        <f>+Tables!AA106+Tables!AI137</f>
        <v>0</v>
      </c>
      <c r="AY198" s="122">
        <f>+Tables!AB106+Tables!AJ137</f>
        <v>0</v>
      </c>
      <c r="AZ198" s="84">
        <f>+Tables!AC106+Tables!AK137</f>
        <v>0</v>
      </c>
      <c r="BA198" s="84">
        <f>+Tables!AD106+Tables!AL137</f>
        <v>0</v>
      </c>
      <c r="BB198" s="124"/>
      <c r="BC198" s="124"/>
    </row>
    <row r="199" spans="1:55">
      <c r="B199" s="428"/>
      <c r="C199" s="120"/>
      <c r="D199" s="430"/>
      <c r="E199" s="120"/>
      <c r="F199" s="428"/>
      <c r="G199" s="120"/>
      <c r="H199" s="430"/>
      <c r="I199" s="120"/>
      <c r="J199" s="1"/>
      <c r="K199" s="1"/>
      <c r="L199" s="1"/>
      <c r="M199" s="471"/>
      <c r="Q199" s="25"/>
      <c r="R199" s="486"/>
      <c r="S199" s="546"/>
      <c r="T199" s="556"/>
      <c r="U199" s="546"/>
      <c r="V199" s="556"/>
      <c r="W199" s="546"/>
      <c r="X199" s="556"/>
      <c r="Y199" s="546"/>
      <c r="AA199" s="251"/>
      <c r="AB199" s="266"/>
      <c r="AC199" s="268"/>
      <c r="AD199" s="266"/>
      <c r="AE199" s="268"/>
      <c r="AL199" s="124"/>
      <c r="AM199" s="85"/>
      <c r="AN199" s="84"/>
      <c r="AO199" s="84"/>
      <c r="AP199" s="84"/>
      <c r="AQ199" s="124"/>
      <c r="AR199" s="124"/>
      <c r="AS199" s="159"/>
      <c r="AT199" s="157"/>
      <c r="AU199" s="84"/>
      <c r="AV199" s="157"/>
      <c r="AW199" s="124"/>
      <c r="AX199" s="123"/>
      <c r="AY199" s="122"/>
      <c r="AZ199" s="84"/>
      <c r="BA199" s="84"/>
      <c r="BB199" s="124"/>
      <c r="BC199" s="124"/>
    </row>
    <row r="200" spans="1:55">
      <c r="A200" s="1" t="s">
        <v>480</v>
      </c>
      <c r="B200" s="428">
        <f>+Tables!G108+Tables!G139</f>
        <v>68099.757777777777</v>
      </c>
      <c r="C200" s="120">
        <f>+GETPIVOTDATA("Sum of New-HS % of Total",'Pivot-HS Student % of Undergrad'!$A$3,"State","GA","Category",12,"Category2","Technical")</f>
        <v>3.1463254348008611E-2</v>
      </c>
      <c r="D200" s="430">
        <f>+Tables!H108+Tables!H139</f>
        <v>4322.1777777777779</v>
      </c>
      <c r="E200" s="120">
        <f>+GETPIVOTDATA("Sum of New-HS % of Total",'Pivot-HS Student % of Undergrad'!$A$3,"State","GA","Category",13,"Category2","Technical")</f>
        <v>5.8030416765210951E-2</v>
      </c>
      <c r="F200" s="428">
        <f>+Tables!I108+Tables!I139</f>
        <v>0</v>
      </c>
      <c r="G200" s="120">
        <f>+GETPIVOTDATA("Sum of New-HS % of Total",'Pivot-HS Student % of Undergrad'!$A$3,"State","GA","Category",14,"Category2","Technical")</f>
        <v>0</v>
      </c>
      <c r="H200" s="430">
        <f>+Tables!J108+Tables!J139</f>
        <v>72421.935555555552</v>
      </c>
      <c r="I200" s="120">
        <f>+GETPIVOTDATA("Sum of New-HS % of Total",'Pivot-HS Student % of Undergrad'!$A$3,"State","GA","Category2","Group3")</f>
        <v>3.3048796050772954E-2</v>
      </c>
      <c r="J200" s="1"/>
      <c r="K200" s="1"/>
      <c r="L200" s="1"/>
      <c r="M200" s="471"/>
      <c r="Q200" s="25" t="s">
        <v>480</v>
      </c>
      <c r="R200" s="486">
        <f>+GETPIVOTDATA("Sum of Old-HS % of Total",'Pivot-HS Student % of Undergrad'!$A$3,"State","GA","Category",12,"Category2","Technical")</f>
        <v>3.3569005343844709E-2</v>
      </c>
      <c r="S200" s="546">
        <f>+'Pivot-HS Student % of Undergrad'!AI40*100</f>
        <v>-0.21057509958360976</v>
      </c>
      <c r="T200" s="556">
        <f>+GETPIVOTDATA("Sum of Old-HS % of Total",'Pivot-HS Student % of Undergrad'!$A$3,"State","GA","Category",13,"Category2","Technical")</f>
        <v>5.6304518988896775E-2</v>
      </c>
      <c r="U200" s="546">
        <f>+'Pivot-HS Student % of Undergrad'!AJ40*100</f>
        <v>0.17258977763141767</v>
      </c>
      <c r="V200" s="556">
        <f>+GETPIVOTDATA("Sum of Old-HS % of Total",'Pivot-HS Student % of Undergrad'!$A$3,"State","GA","Category",14,"Category2","Technical")</f>
        <v>0</v>
      </c>
      <c r="W200" s="546" t="e">
        <f>+'Pivot-HS Student % of Undergrad'!AK40*100</f>
        <v>#VALUE!</v>
      </c>
      <c r="X200" s="556">
        <f>+GETPIVOTDATA("Sum of Old-HS % of Total",'Pivot-HS Student % of Undergrad'!$A$3,"State","GA","Category2","Technical")</f>
        <v>3.4980535690167465E-2</v>
      </c>
      <c r="Y200" s="546">
        <f>+'Pivot-HS Student % of Undergrad'!AL40*100</f>
        <v>-0.19317396393945113</v>
      </c>
      <c r="AA200" s="251" t="s">
        <v>480</v>
      </c>
      <c r="AB200" s="266">
        <f>+Tables!AA108+Tables!AI139</f>
        <v>64767.3511111111</v>
      </c>
      <c r="AC200" s="268">
        <f>+Tables!AB108+Tables!AJ139</f>
        <v>4287.2422222222231</v>
      </c>
      <c r="AD200" s="266">
        <f>+Tables!AC108+Tables!AK139</f>
        <v>0</v>
      </c>
      <c r="AE200" s="268">
        <f>+Tables!AD108+Tables!AL139</f>
        <v>69054.593333333323</v>
      </c>
      <c r="AL200" s="124" t="s">
        <v>480</v>
      </c>
      <c r="AM200" s="85">
        <f t="shared" si="2"/>
        <v>68099.757777777777</v>
      </c>
      <c r="AN200" s="84">
        <f t="shared" si="3"/>
        <v>4322.1777777777779</v>
      </c>
      <c r="AO200" s="84">
        <f t="shared" si="4"/>
        <v>0</v>
      </c>
      <c r="AP200" s="84">
        <f t="shared" si="5"/>
        <v>72421.935555555552</v>
      </c>
      <c r="AQ200" s="124"/>
      <c r="AR200" s="124"/>
      <c r="AS200" s="159"/>
      <c r="AT200" s="157"/>
      <c r="AU200" s="84"/>
      <c r="AV200" s="157"/>
      <c r="AW200" s="124" t="s">
        <v>480</v>
      </c>
      <c r="AX200" s="123">
        <f>+Tables!AA108+Tables!AI139</f>
        <v>64767.3511111111</v>
      </c>
      <c r="AY200" s="122">
        <f>+Tables!AB108+Tables!AJ139</f>
        <v>4287.2422222222231</v>
      </c>
      <c r="AZ200" s="84">
        <f>+Tables!AC108+Tables!AK139</f>
        <v>0</v>
      </c>
      <c r="BA200" s="84">
        <f>+Tables!AD108+Tables!AL139</f>
        <v>69054.593333333323</v>
      </c>
      <c r="BB200" s="124"/>
      <c r="BC200" s="124"/>
    </row>
    <row r="201" spans="1:55">
      <c r="A201" s="1" t="s">
        <v>481</v>
      </c>
      <c r="B201" s="428">
        <f>+Tables!G109+Tables!G140</f>
        <v>2928.8666666666668</v>
      </c>
      <c r="C201" s="120">
        <f>+GETPIVOTDATA("Sum of New-HS % of Total",'Pivot-HS Student % of Undergrad'!$A$3,"State","KY","Category",12,"Category2","Technical")</f>
        <v>9.3084924771811628E-2</v>
      </c>
      <c r="D201" s="430">
        <f>+Tables!H109+Tables!H140</f>
        <v>0</v>
      </c>
      <c r="E201" s="120">
        <f>+GETPIVOTDATA("Sum of New-HS % of Total",'Pivot-HS Student % of Undergrad'!$A$3,"State","KY","Category",13,"Category2","Technical")</f>
        <v>0</v>
      </c>
      <c r="F201" s="428">
        <f>+Tables!I109+Tables!I140</f>
        <v>0</v>
      </c>
      <c r="G201" s="120">
        <f>+GETPIVOTDATA("Sum of New-HS % of Total",'Pivot-HS Student % of Undergrad'!$A$3,"State","KY","Category",14,"Category2","Technical")</f>
        <v>0</v>
      </c>
      <c r="H201" s="430">
        <f>+Tables!J109+Tables!J140</f>
        <v>2928.8666666666668</v>
      </c>
      <c r="I201" s="120">
        <f>+GETPIVOTDATA("Sum of New-HS % of Total",'Pivot-HS Student % of Undergrad'!$A$3,"State","KY","Category2","Group3")</f>
        <v>9.3084924771811628E-2</v>
      </c>
      <c r="J201" s="1"/>
      <c r="K201" s="1"/>
      <c r="L201" s="1"/>
      <c r="M201" s="471"/>
      <c r="Q201" s="25" t="s">
        <v>481</v>
      </c>
      <c r="R201" s="486">
        <f>+GETPIVOTDATA("Sum of Old-HS % of Total",'Pivot-HS Student % of Undergrad'!$A$3,"State","KY","Category",12,"Category2","Technical")</f>
        <v>0.12141411736698011</v>
      </c>
      <c r="S201" s="546">
        <f>+'Pivot-HS Student % of Undergrad'!AI47*100</f>
        <v>-2.8329192595168489</v>
      </c>
      <c r="T201" s="556">
        <f>+GETPIVOTDATA("Sum of Old-HS % of Total",'Pivot-HS Student % of Undergrad'!$A$3,"State","KY","Category",13,"Category2","Technical")</f>
        <v>0</v>
      </c>
      <c r="U201" s="546" t="e">
        <f>+'Pivot-HS Student % of Undergrad'!AJ47*100</f>
        <v>#VALUE!</v>
      </c>
      <c r="V201" s="556">
        <f>+GETPIVOTDATA("Sum of Old-HS % of Total",'Pivot-HS Student % of Undergrad'!$A$3,"State","KY","Category",14,"Category2","Technical")</f>
        <v>0</v>
      </c>
      <c r="W201" s="546" t="e">
        <f>+'Pivot-HS Student % of Undergrad'!AK47*100</f>
        <v>#VALUE!</v>
      </c>
      <c r="X201" s="556">
        <f>+GETPIVOTDATA("Sum of Old-HS % of Total",'Pivot-HS Student % of Undergrad'!$A$3,"State","KY","Category2","Technical")</f>
        <v>0.12141411736698011</v>
      </c>
      <c r="Y201" s="546">
        <f>+'Pivot-HS Student % of Undergrad'!AL47*100</f>
        <v>-2.8329192595168489</v>
      </c>
      <c r="AA201" s="251" t="s">
        <v>481</v>
      </c>
      <c r="AB201" s="266">
        <f>+Tables!AA109+Tables!AI140</f>
        <v>2800.333333333333</v>
      </c>
      <c r="AC201" s="268">
        <f>+Tables!AB109+Tables!AJ140</f>
        <v>0</v>
      </c>
      <c r="AD201" s="266">
        <f>+Tables!AC109+Tables!AK140</f>
        <v>0</v>
      </c>
      <c r="AE201" s="268">
        <f>+Tables!AD109+Tables!AL140</f>
        <v>2800.333333333333</v>
      </c>
      <c r="AL201" s="124" t="s">
        <v>481</v>
      </c>
      <c r="AM201" s="85">
        <f t="shared" si="2"/>
        <v>2928.8666666666668</v>
      </c>
      <c r="AN201" s="84">
        <f t="shared" si="3"/>
        <v>0</v>
      </c>
      <c r="AO201" s="84">
        <f t="shared" si="4"/>
        <v>0</v>
      </c>
      <c r="AP201" s="84">
        <f t="shared" si="5"/>
        <v>2928.8666666666668</v>
      </c>
      <c r="AQ201" s="124"/>
      <c r="AR201" s="124"/>
      <c r="AS201" s="159"/>
      <c r="AT201" s="157"/>
      <c r="AU201" s="84"/>
      <c r="AV201" s="157"/>
      <c r="AW201" s="124" t="s">
        <v>481</v>
      </c>
      <c r="AX201" s="123">
        <f>+Tables!AA109+Tables!AI140</f>
        <v>2800.333333333333</v>
      </c>
      <c r="AY201" s="122">
        <f>+Tables!AB109+Tables!AJ140</f>
        <v>0</v>
      </c>
      <c r="AZ201" s="84">
        <f>+Tables!AC109+Tables!AK140</f>
        <v>0</v>
      </c>
      <c r="BA201" s="84">
        <f>+Tables!AD109+Tables!AL140</f>
        <v>2800.333333333333</v>
      </c>
      <c r="BB201" s="124"/>
      <c r="BC201" s="124"/>
    </row>
    <row r="202" spans="1:55">
      <c r="A202" s="1" t="s">
        <v>482</v>
      </c>
      <c r="B202" s="428">
        <f>+Tables!G110+Tables!G141</f>
        <v>1458.4333333333334</v>
      </c>
      <c r="C202" s="120">
        <f>+GETPIVOTDATA("Sum of New-HS % of Total",'Pivot-HS Student % of Undergrad'!$A$3,"State","LA","Category",12,"Category2","Technical")</f>
        <v>1.963293945558019E-2</v>
      </c>
      <c r="D202" s="430">
        <f>+Tables!H110+Tables!H141</f>
        <v>945.31444444444446</v>
      </c>
      <c r="E202" s="120">
        <f>+GETPIVOTDATA("Sum of New-HS % of Total",'Pivot-HS Student % of Undergrad'!$A$3,"State","LA","Category",13,"Category2","Technical")</f>
        <v>2.2625672840069336E-2</v>
      </c>
      <c r="F202" s="428">
        <f>+Tables!I110+Tables!I141</f>
        <v>14183.737222222222</v>
      </c>
      <c r="G202" s="120">
        <f>+GETPIVOTDATA("Sum of New-HS % of Total",'Pivot-HS Student % of Undergrad'!$A$3,"State","LA","Category",14,"Category2","Technical")</f>
        <v>0.12250811470743031</v>
      </c>
      <c r="H202" s="430">
        <f>+Tables!J110+Tables!J141</f>
        <v>16587.485000000001</v>
      </c>
      <c r="I202" s="120">
        <f>+GETPIVOTDATA("Sum of New-HS % of Total",'Pivot-HS Student % of Undergrad'!$A$3,"State","LA","Category2","Group3")</f>
        <v>0.1069040768040994</v>
      </c>
      <c r="J202" s="1"/>
      <c r="K202" s="1"/>
      <c r="L202" s="1"/>
      <c r="M202" s="471"/>
      <c r="Q202" s="25" t="s">
        <v>482</v>
      </c>
      <c r="R202" s="486">
        <f>+GETPIVOTDATA("Sum of Old-HS % of Total",'Pivot-HS Student % of Undergrad'!$A$3,"State","LA","Category",12,"Category2","Technical")</f>
        <v>2.3372563877903811E-2</v>
      </c>
      <c r="S202" s="546">
        <f>+'Pivot-HS Student % of Undergrad'!AI54*100</f>
        <v>-0.37396244223236208</v>
      </c>
      <c r="T202" s="556">
        <f>+GETPIVOTDATA("Sum of Old-HS % of Total",'Pivot-HS Student % of Undergrad'!$A$3,"State","LA","Category",13,"Category2","Technical")</f>
        <v>9.3190457998534506E-3</v>
      </c>
      <c r="U202" s="546">
        <f>+'Pivot-HS Student % of Undergrad'!AJ54*100</f>
        <v>1.3306627040215886</v>
      </c>
      <c r="V202" s="556">
        <f>+GETPIVOTDATA("Sum of Old-HS % of Total",'Pivot-HS Student % of Undergrad'!$A$3,"State","LA","Category",14,"Category2","Technical")</f>
        <v>7.2167156016949507E-2</v>
      </c>
      <c r="W202" s="546">
        <f>+'Pivot-HS Student % of Undergrad'!AK54*100</f>
        <v>5.0340958690480804</v>
      </c>
      <c r="X202" s="556">
        <f>+GETPIVOTDATA("Sum of Old-HS % of Total",'Pivot-HS Student % of Undergrad'!$A$3,"State","LA","Category2","Technical")</f>
        <v>6.05205979167198E-2</v>
      </c>
      <c r="Y202" s="546">
        <f>+'Pivot-HS Student % of Undergrad'!AL54*100</f>
        <v>4.6383478887379601</v>
      </c>
      <c r="AA202" s="251" t="s">
        <v>482</v>
      </c>
      <c r="AB202" s="266">
        <f>+Tables!AA110+Tables!AI141</f>
        <v>1407.6333333333334</v>
      </c>
      <c r="AC202" s="268">
        <f>+Tables!AB110+Tables!AJ141</f>
        <v>851.55222222222221</v>
      </c>
      <c r="AD202" s="266">
        <f>+Tables!AC110+Tables!AK141</f>
        <v>13100.702222222222</v>
      </c>
      <c r="AE202" s="268">
        <f>+Tables!AD110+Tables!AL141</f>
        <v>15359.887777777778</v>
      </c>
      <c r="AL202" s="124" t="s">
        <v>482</v>
      </c>
      <c r="AM202" s="85">
        <f t="shared" si="2"/>
        <v>1458.4333333333334</v>
      </c>
      <c r="AN202" s="84">
        <f t="shared" si="3"/>
        <v>945.31444444444446</v>
      </c>
      <c r="AO202" s="84">
        <f t="shared" si="4"/>
        <v>14183.737222222222</v>
      </c>
      <c r="AP202" s="84">
        <f t="shared" si="5"/>
        <v>16587.485000000001</v>
      </c>
      <c r="AQ202" s="124"/>
      <c r="AR202" s="124"/>
      <c r="AS202" s="159"/>
      <c r="AT202" s="157"/>
      <c r="AU202" s="84"/>
      <c r="AV202" s="157"/>
      <c r="AW202" s="124" t="s">
        <v>482</v>
      </c>
      <c r="AX202" s="123">
        <f>+Tables!AA110+Tables!AI141</f>
        <v>1407.6333333333334</v>
      </c>
      <c r="AY202" s="122">
        <f>+Tables!AB110+Tables!AJ141</f>
        <v>851.55222222222221</v>
      </c>
      <c r="AZ202" s="84">
        <f>+Tables!AC110+Tables!AK141</f>
        <v>13100.702222222222</v>
      </c>
      <c r="BA202" s="84">
        <f>+Tables!AD110+Tables!AL141</f>
        <v>15359.887777777778</v>
      </c>
      <c r="BB202" s="124"/>
      <c r="BC202" s="124"/>
    </row>
    <row r="203" spans="1:55">
      <c r="A203" s="1" t="s">
        <v>483</v>
      </c>
      <c r="B203" s="428">
        <f>+Tables!G111+Tables!G142</f>
        <v>0</v>
      </c>
      <c r="C203" s="120">
        <f>+GETPIVOTDATA("Sum of New-HS % of Total",'Pivot-HS Student % of Undergrad'!$A$3,"State","MD","Category",12,"Category2","Technical")</f>
        <v>0</v>
      </c>
      <c r="D203" s="430">
        <f>+Tables!H111+Tables!H142</f>
        <v>0</v>
      </c>
      <c r="E203" s="120">
        <f>+GETPIVOTDATA("Sum of New-HS % of Total",'Pivot-HS Student % of Undergrad'!$A$3,"State","MD","Category",13,"Category2","Technical")</f>
        <v>0</v>
      </c>
      <c r="F203" s="428">
        <f>+Tables!I111+Tables!I142</f>
        <v>0</v>
      </c>
      <c r="G203" s="120">
        <f>+GETPIVOTDATA("Sum of New-HS % of Total",'Pivot-HS Student % of Undergrad'!$A$3,"State","MD","Category",14,"Category2","Technical")</f>
        <v>0</v>
      </c>
      <c r="H203" s="430">
        <f>+Tables!J111+Tables!J142</f>
        <v>0</v>
      </c>
      <c r="I203" s="120">
        <f>+GETPIVOTDATA("Sum of New-HS % of Total",'Pivot-HS Student % of Undergrad'!$A$3,"State","MD","Category2","Group3")</f>
        <v>0</v>
      </c>
      <c r="J203" s="1"/>
      <c r="K203" s="1"/>
      <c r="L203" s="1"/>
      <c r="M203" s="471"/>
      <c r="Q203" s="25" t="s">
        <v>483</v>
      </c>
      <c r="R203" s="486">
        <f>+GETPIVOTDATA("Sum of Old-HS % of Total",'Pivot-HS Student % of Undergrad'!$A$3,"State","MD","Category",12,"Category2","Technical")</f>
        <v>0</v>
      </c>
      <c r="S203" s="546" t="e">
        <f>+'Pivot-HS Student % of Undergrad'!AI61*100</f>
        <v>#VALUE!</v>
      </c>
      <c r="T203" s="556">
        <f>+GETPIVOTDATA("Sum of Old-HS % of Total",'Pivot-HS Student % of Undergrad'!$A$3,"State","MD","Category",13,"Category2","Technical")</f>
        <v>0</v>
      </c>
      <c r="U203" s="546" t="e">
        <f>+'Pivot-HS Student % of Undergrad'!AJ61*100</f>
        <v>#VALUE!</v>
      </c>
      <c r="V203" s="556">
        <f>+GETPIVOTDATA("Sum of Old-HS % of Total",'Pivot-HS Student % of Undergrad'!$A$3,"State","MD","Category",14,"Category2","Technical")</f>
        <v>0</v>
      </c>
      <c r="W203" s="546" t="e">
        <f>+'Pivot-HS Student % of Undergrad'!AK61*100</f>
        <v>#VALUE!</v>
      </c>
      <c r="X203" s="556">
        <f>+GETPIVOTDATA("Sum of Old-HS % of Total",'Pivot-HS Student % of Undergrad'!$A$3,"State","MD","Category2","Technical")</f>
        <v>0</v>
      </c>
      <c r="Y203" s="546" t="e">
        <f>+'Pivot-HS Student % of Undergrad'!AL61*100</f>
        <v>#VALUE!</v>
      </c>
      <c r="AA203" s="251" t="s">
        <v>483</v>
      </c>
      <c r="AB203" s="266"/>
      <c r="AC203" s="268"/>
      <c r="AD203" s="266"/>
      <c r="AE203" s="268"/>
      <c r="AL203" s="124" t="s">
        <v>483</v>
      </c>
      <c r="AM203" s="85">
        <f t="shared" si="2"/>
        <v>0</v>
      </c>
      <c r="AN203" s="84">
        <f t="shared" si="3"/>
        <v>0</v>
      </c>
      <c r="AO203" s="84">
        <f t="shared" si="4"/>
        <v>0</v>
      </c>
      <c r="AP203" s="84">
        <f t="shared" si="5"/>
        <v>0</v>
      </c>
      <c r="AQ203" s="124"/>
      <c r="AR203" s="124"/>
      <c r="AS203" s="159"/>
      <c r="AT203" s="157"/>
      <c r="AU203" s="84"/>
      <c r="AV203" s="157"/>
      <c r="AW203" s="124" t="s">
        <v>483</v>
      </c>
      <c r="AX203" s="123">
        <f>+Tables!AA111+Tables!AI142</f>
        <v>0</v>
      </c>
      <c r="AY203" s="122">
        <f>+Tables!AB111+Tables!AJ142</f>
        <v>0</v>
      </c>
      <c r="AZ203" s="84">
        <f>+Tables!AC111+Tables!AK142</f>
        <v>0</v>
      </c>
      <c r="BA203" s="84">
        <f>+Tables!AD111+Tables!AL142</f>
        <v>0</v>
      </c>
      <c r="BB203" s="124"/>
      <c r="BC203" s="124"/>
    </row>
    <row r="204" spans="1:55">
      <c r="B204" s="428"/>
      <c r="C204" s="120"/>
      <c r="D204" s="430"/>
      <c r="E204" s="120"/>
      <c r="F204" s="428"/>
      <c r="G204" s="120"/>
      <c r="H204" s="430"/>
      <c r="I204" s="120"/>
      <c r="J204" s="1"/>
      <c r="K204" s="1"/>
      <c r="L204" s="1"/>
      <c r="M204" s="471"/>
      <c r="Q204" s="25"/>
      <c r="R204" s="486"/>
      <c r="S204" s="546"/>
      <c r="T204" s="556"/>
      <c r="U204" s="546"/>
      <c r="V204" s="556"/>
      <c r="W204" s="546"/>
      <c r="X204" s="556"/>
      <c r="Y204" s="546"/>
      <c r="AA204" s="251"/>
      <c r="AB204" s="266"/>
      <c r="AC204" s="268"/>
      <c r="AD204" s="266"/>
      <c r="AE204" s="268"/>
      <c r="AL204" s="124"/>
      <c r="AM204" s="85"/>
      <c r="AN204" s="84"/>
      <c r="AO204" s="84"/>
      <c r="AP204" s="84"/>
      <c r="AQ204" s="124"/>
      <c r="AR204" s="124"/>
      <c r="AS204" s="159"/>
      <c r="AT204" s="157"/>
      <c r="AU204" s="84"/>
      <c r="AV204" s="157"/>
      <c r="AW204" s="124"/>
      <c r="AX204" s="123"/>
      <c r="AY204" s="122"/>
      <c r="AZ204" s="84"/>
      <c r="BA204" s="84"/>
      <c r="BB204" s="124"/>
      <c r="BC204" s="124"/>
    </row>
    <row r="205" spans="1:55">
      <c r="A205" s="1" t="s">
        <v>484</v>
      </c>
      <c r="B205" s="428">
        <f>+Tables!G113+Tables!G144</f>
        <v>0</v>
      </c>
      <c r="C205" s="120">
        <f>+GETPIVOTDATA("Sum of New-HS % of Total",'Pivot-HS Student % of Undergrad'!$A$3,"State","MS","Category",12,"Category2","Technical")</f>
        <v>0</v>
      </c>
      <c r="D205" s="430">
        <f>+Tables!H113+Tables!H144</f>
        <v>0</v>
      </c>
      <c r="E205" s="120">
        <f>+GETPIVOTDATA("Sum of New-HS % of Total",'Pivot-HS Student % of Undergrad'!$A$3,"State","MS","Category",13,"Category2","Technical")</f>
        <v>0</v>
      </c>
      <c r="F205" s="428">
        <f>+Tables!I113+Tables!I144</f>
        <v>0</v>
      </c>
      <c r="G205" s="120">
        <f>+GETPIVOTDATA("Sum of New-HS % of Total",'Pivot-HS Student % of Undergrad'!$A$3,"State","MS","Category",14,"Category2","Technical")</f>
        <v>0</v>
      </c>
      <c r="H205" s="430">
        <f>+Tables!J113+Tables!J144</f>
        <v>0</v>
      </c>
      <c r="I205" s="120">
        <f>+GETPIVOTDATA("Sum of New-HS % of Total",'Pivot-HS Student % of Undergrad'!$A$3,"State","MS","Category2","Group3")</f>
        <v>0</v>
      </c>
      <c r="J205" s="1"/>
      <c r="K205" s="1"/>
      <c r="L205" s="1"/>
      <c r="M205" s="471"/>
      <c r="Q205" s="25" t="s">
        <v>484</v>
      </c>
      <c r="R205" s="486">
        <f>+GETPIVOTDATA("Sum of Old-HS % of Total",'Pivot-HS Student % of Undergrad'!$A$3,"State","MS","Category",12,"Category2","Technical")</f>
        <v>0</v>
      </c>
      <c r="S205" s="546" t="e">
        <f>+'Pivot-HS Student % of Undergrad'!AI68*100</f>
        <v>#VALUE!</v>
      </c>
      <c r="T205" s="556">
        <f>+GETPIVOTDATA("Sum of Old-HS % of Total",'Pivot-HS Student % of Undergrad'!$A$3,"State","MS","Category",13,"Category2","Technical")</f>
        <v>0</v>
      </c>
      <c r="U205" s="546" t="e">
        <f>+'Pivot-HS Student % of Undergrad'!AJ68*100</f>
        <v>#VALUE!</v>
      </c>
      <c r="V205" s="556">
        <f>+GETPIVOTDATA("Sum of Old-HS % of Total",'Pivot-HS Student % of Undergrad'!$A$3,"State","MS","Category",14,"Category2","Technical")</f>
        <v>0</v>
      </c>
      <c r="W205" s="546" t="e">
        <f>+'Pivot-HS Student % of Undergrad'!AK68*100</f>
        <v>#VALUE!</v>
      </c>
      <c r="X205" s="556">
        <f>+GETPIVOTDATA("Sum of Old-HS % of Total",'Pivot-HS Student % of Undergrad'!$A$3,"State","MS","Category2","Technical")</f>
        <v>0</v>
      </c>
      <c r="Y205" s="546" t="e">
        <f>+'Pivot-HS Student % of Undergrad'!AL68*100</f>
        <v>#VALUE!</v>
      </c>
      <c r="AA205" s="251" t="s">
        <v>484</v>
      </c>
      <c r="AB205" s="266">
        <f>+Tables!AA113+Tables!AI144</f>
        <v>0</v>
      </c>
      <c r="AC205" s="268">
        <f>+Tables!AB113+Tables!AJ144</f>
        <v>0</v>
      </c>
      <c r="AD205" s="266">
        <f>+Tables!AC113+Tables!AK144</f>
        <v>0</v>
      </c>
      <c r="AE205" s="268">
        <f>+Tables!AD113+Tables!AL144</f>
        <v>0</v>
      </c>
      <c r="AL205" s="124" t="s">
        <v>484</v>
      </c>
      <c r="AM205" s="85">
        <f t="shared" si="2"/>
        <v>0</v>
      </c>
      <c r="AN205" s="84">
        <f t="shared" si="3"/>
        <v>0</v>
      </c>
      <c r="AO205" s="84">
        <f t="shared" si="4"/>
        <v>0</v>
      </c>
      <c r="AP205" s="84">
        <f t="shared" si="5"/>
        <v>0</v>
      </c>
      <c r="AQ205" s="124"/>
      <c r="AR205" s="124"/>
      <c r="AS205" s="159"/>
      <c r="AT205" s="157"/>
      <c r="AU205" s="84"/>
      <c r="AV205" s="157"/>
      <c r="AW205" s="124" t="s">
        <v>484</v>
      </c>
      <c r="AX205" s="123">
        <f>+Tables!AA113+Tables!AI144</f>
        <v>0</v>
      </c>
      <c r="AY205" s="122">
        <f>+Tables!AB113+Tables!AJ144</f>
        <v>0</v>
      </c>
      <c r="AZ205" s="84">
        <f>+Tables!AC113+Tables!AK144</f>
        <v>0</v>
      </c>
      <c r="BA205" s="84">
        <f>+Tables!AD113+Tables!AL144</f>
        <v>0</v>
      </c>
      <c r="BB205" s="124"/>
      <c r="BC205" s="124"/>
    </row>
    <row r="206" spans="1:55">
      <c r="A206" s="1" t="s">
        <v>485</v>
      </c>
      <c r="B206" s="428">
        <f>+Tables!G114+Tables!G145</f>
        <v>0</v>
      </c>
      <c r="C206" s="120">
        <f>+GETPIVOTDATA("Sum of New-HS % of Total",'Pivot-HS Student % of Undergrad'!$A$3,"State","NC","Category",12,"Category2","Technical")</f>
        <v>0</v>
      </c>
      <c r="D206" s="430">
        <f>+Tables!H114+Tables!H145</f>
        <v>0</v>
      </c>
      <c r="E206" s="120">
        <f>+GETPIVOTDATA("Sum of New-HS % of Total",'Pivot-HS Student % of Undergrad'!$A$3,"State","NC","Category",13,"Category2","Technical")</f>
        <v>0</v>
      </c>
      <c r="F206" s="428">
        <f>+Tables!I114+Tables!I145</f>
        <v>0</v>
      </c>
      <c r="G206" s="120">
        <f>+GETPIVOTDATA("Sum of New-HS % of Total",'Pivot-HS Student % of Undergrad'!$A$3,"State","NC","Category",14,"Category2","Technical")</f>
        <v>0</v>
      </c>
      <c r="H206" s="430">
        <f>+Tables!J114+Tables!J145</f>
        <v>0</v>
      </c>
      <c r="I206" s="120">
        <f>+GETPIVOTDATA("Sum of New-HS % of Total",'Pivot-HS Student % of Undergrad'!$A$3,"State","NC","Category2","Group3")</f>
        <v>0</v>
      </c>
      <c r="J206" s="1"/>
      <c r="K206" s="1"/>
      <c r="L206" s="1"/>
      <c r="M206" s="471"/>
      <c r="Q206" s="25" t="s">
        <v>485</v>
      </c>
      <c r="R206" s="486">
        <f>+GETPIVOTDATA("Sum of Old-HS % of Total",'Pivot-HS Student % of Undergrad'!$A$3,"State","NC","Category",12,"Category2","Technical")</f>
        <v>0</v>
      </c>
      <c r="S206" s="560" t="e">
        <f>+'Pivot-HS Student % of Undergrad'!AI75*100</f>
        <v>#VALUE!</v>
      </c>
      <c r="T206" s="556">
        <f>+GETPIVOTDATA("Sum of Old-HS % of Total",'Pivot-HS Student % of Undergrad'!$A$3,"State","NC","Category",13,"Category2","Technical")</f>
        <v>0</v>
      </c>
      <c r="U206" s="560" t="e">
        <f>+'Pivot-HS Student % of Undergrad'!AJ75*100</f>
        <v>#VALUE!</v>
      </c>
      <c r="V206" s="556">
        <f>+GETPIVOTDATA("Sum of Old-HS % of Total",'Pivot-HS Student % of Undergrad'!$A$3,"State","NC","Category",14,"Category2","Technical")</f>
        <v>0</v>
      </c>
      <c r="W206" s="560" t="e">
        <f>+'Pivot-HS Student % of Undergrad'!AK75*100</f>
        <v>#VALUE!</v>
      </c>
      <c r="X206" s="556">
        <f>+GETPIVOTDATA("Sum of Old-HS % of Total",'Pivot-HS Student % of Undergrad'!$A$3,"State","NC","Category2","Technical")</f>
        <v>0</v>
      </c>
      <c r="Y206" s="560" t="e">
        <f>+'Pivot-HS Student % of Undergrad'!AL75*100</f>
        <v>#VALUE!</v>
      </c>
      <c r="AA206" s="251" t="s">
        <v>485</v>
      </c>
      <c r="AB206" s="266">
        <f>+Tables!AA114+Tables!AI145</f>
        <v>0</v>
      </c>
      <c r="AC206" s="268">
        <f>+Tables!AB114+Tables!AJ145</f>
        <v>0</v>
      </c>
      <c r="AD206" s="266">
        <f>+Tables!AC114+Tables!AK145</f>
        <v>0</v>
      </c>
      <c r="AE206" s="268">
        <f>+Tables!AD114+Tables!AL145</f>
        <v>0</v>
      </c>
      <c r="AL206" s="124" t="s">
        <v>485</v>
      </c>
      <c r="AM206" s="85">
        <f t="shared" si="2"/>
        <v>0</v>
      </c>
      <c r="AN206" s="84">
        <f t="shared" si="3"/>
        <v>0</v>
      </c>
      <c r="AO206" s="84">
        <f t="shared" si="4"/>
        <v>0</v>
      </c>
      <c r="AP206" s="84">
        <f t="shared" si="5"/>
        <v>0</v>
      </c>
      <c r="AQ206" s="124"/>
      <c r="AR206" s="124"/>
      <c r="AS206" s="159"/>
      <c r="AT206" s="157"/>
      <c r="AU206" s="84"/>
      <c r="AV206" s="157"/>
      <c r="AW206" s="124" t="s">
        <v>485</v>
      </c>
      <c r="AX206" s="123">
        <f>+Tables!AA114+Tables!AI145</f>
        <v>0</v>
      </c>
      <c r="AY206" s="122">
        <f>+Tables!AB114+Tables!AJ145</f>
        <v>0</v>
      </c>
      <c r="AZ206" s="84">
        <f>+Tables!AC114+Tables!AK145</f>
        <v>0</v>
      </c>
      <c r="BA206" s="84">
        <f>+Tables!AD114+Tables!AL145</f>
        <v>0</v>
      </c>
      <c r="BB206" s="124"/>
      <c r="BC206" s="124"/>
    </row>
    <row r="207" spans="1:55">
      <c r="A207" s="1" t="s">
        <v>486</v>
      </c>
      <c r="B207" s="428">
        <f>+Tables!G115+Tables!G146</f>
        <v>6714.8237444444449</v>
      </c>
      <c r="C207" s="120">
        <f>+GETPIVOTDATA("Sum of New-HS % of Total",'Pivot-HS Student % of Undergrad'!$A$3,"State","OK","Category",12,"Category2","Technical")</f>
        <v>0</v>
      </c>
      <c r="D207" s="430">
        <f>+Tables!H115+Tables!H146</f>
        <v>14398.366977777776</v>
      </c>
      <c r="E207" s="120">
        <f>+GETPIVOTDATA("Sum of New-HS % of Total",'Pivot-HS Student % of Undergrad'!$A$3,"State","OK","Category",13,"Category2","Technical")</f>
        <v>0</v>
      </c>
      <c r="F207" s="428">
        <f>+Tables!I115+Tables!I146</f>
        <v>0</v>
      </c>
      <c r="G207" s="120">
        <f>+GETPIVOTDATA("Sum of New-HS % of Total",'Pivot-HS Student % of Undergrad'!$A$3,"State","OK","Category",14,"Category2","Technical")</f>
        <v>0</v>
      </c>
      <c r="H207" s="430">
        <f>+Tables!J115+Tables!J146</f>
        <v>21113.190722222222</v>
      </c>
      <c r="I207" s="120">
        <f>+GETPIVOTDATA("Sum of New-HS % of Total",'Pivot-HS Student % of Undergrad'!$A$3,"State","OK","Category2","Group3")</f>
        <v>0</v>
      </c>
      <c r="J207" s="1"/>
      <c r="K207" s="1"/>
      <c r="L207" s="1"/>
      <c r="M207" s="471"/>
      <c r="Q207" s="25" t="s">
        <v>486</v>
      </c>
      <c r="R207" s="486">
        <f>+GETPIVOTDATA("Sum of Old-HS % of Total",'Pivot-HS Student % of Undergrad'!$A$3,"State","OK","Category",12,"Category2","Technical")</f>
        <v>0</v>
      </c>
      <c r="S207" s="546" t="e">
        <f>+'Pivot-HS Student % of Undergrad'!AI82*100</f>
        <v>#VALUE!</v>
      </c>
      <c r="T207" s="556">
        <f>+GETPIVOTDATA("Sum of Old-HS % of Total",'Pivot-HS Student % of Undergrad'!$A$3,"State","OK","Category",13,"Category2","Technical")</f>
        <v>0</v>
      </c>
      <c r="U207" s="546" t="e">
        <f>+'Pivot-HS Student % of Undergrad'!AJ82*100</f>
        <v>#VALUE!</v>
      </c>
      <c r="V207" s="556">
        <f>+GETPIVOTDATA("Sum of Old-HS % of Total",'Pivot-HS Student % of Undergrad'!$A$3,"State","OK","Category",14,"Category2","Technical")</f>
        <v>0</v>
      </c>
      <c r="W207" s="546" t="e">
        <f>+'Pivot-HS Student % of Undergrad'!AK82*100</f>
        <v>#VALUE!</v>
      </c>
      <c r="X207" s="556">
        <f>+GETPIVOTDATA("Sum of Old-HS % of Total",'Pivot-HS Student % of Undergrad'!$A$3,"State","OK","Category2","Technical")</f>
        <v>0</v>
      </c>
      <c r="Y207" s="546" t="e">
        <f>+'Pivot-HS Student % of Undergrad'!AL82*100</f>
        <v>#VALUE!</v>
      </c>
      <c r="AA207" s="251" t="s">
        <v>486</v>
      </c>
      <c r="AB207" s="266">
        <f>+Tables!AA115+Tables!AI146</f>
        <v>6980.4503777777791</v>
      </c>
      <c r="AC207" s="268">
        <f>+Tables!AB115+Tables!AJ146</f>
        <v>14620.030233333329</v>
      </c>
      <c r="AD207" s="266">
        <f>+Tables!AC115+Tables!AK146</f>
        <v>0</v>
      </c>
      <c r="AE207" s="268">
        <f>+Tables!AD115+Tables!AL146</f>
        <v>21600.48061111111</v>
      </c>
      <c r="AL207" s="124" t="s">
        <v>486</v>
      </c>
      <c r="AM207" s="156"/>
      <c r="AN207" s="157"/>
      <c r="AO207" s="84"/>
      <c r="AP207" s="157"/>
      <c r="AQ207" s="124"/>
      <c r="AR207" s="124"/>
      <c r="AS207" s="159"/>
      <c r="AT207" s="157"/>
      <c r="AU207" s="84"/>
      <c r="AV207" s="157"/>
      <c r="AW207" s="124" t="s">
        <v>486</v>
      </c>
      <c r="AX207" s="158"/>
      <c r="AY207" s="159"/>
      <c r="AZ207" s="84"/>
      <c r="BA207" s="157"/>
      <c r="BB207" s="124"/>
      <c r="BC207" s="124"/>
    </row>
    <row r="208" spans="1:55">
      <c r="A208" s="1" t="s">
        <v>487</v>
      </c>
      <c r="B208" s="428">
        <f>+Tables!G116+Tables!G147</f>
        <v>0</v>
      </c>
      <c r="C208" s="120">
        <f>+GETPIVOTDATA("Sum of New-HS % of Total",'Pivot-HS Student % of Undergrad'!$A$3,"State","SC","Category",12,"Category2","Technical")</f>
        <v>0</v>
      </c>
      <c r="D208" s="430">
        <f>+Tables!H116+Tables!H147</f>
        <v>0</v>
      </c>
      <c r="E208" s="120">
        <f>+GETPIVOTDATA("Sum of New-HS % of Total",'Pivot-HS Student % of Undergrad'!$A$3,"State","SC","Category",13,"Category2","Technical")</f>
        <v>0</v>
      </c>
      <c r="F208" s="428">
        <f>+Tables!I116+Tables!I147</f>
        <v>0</v>
      </c>
      <c r="G208" s="120">
        <f>+GETPIVOTDATA("Sum of New-HS % of Total",'Pivot-HS Student % of Undergrad'!$A$3,"State","SC","Category",14,"Category2","Technical")</f>
        <v>0</v>
      </c>
      <c r="H208" s="430">
        <f>+Tables!J116+Tables!J147</f>
        <v>0</v>
      </c>
      <c r="I208" s="120">
        <f>+GETPIVOTDATA("Sum of New-HS % of Total",'Pivot-HS Student % of Undergrad'!$A$3,"State","SC","Category2","Group3")</f>
        <v>0</v>
      </c>
      <c r="J208" s="1"/>
      <c r="K208" s="1"/>
      <c r="L208" s="1"/>
      <c r="M208" s="471"/>
      <c r="Q208" s="25" t="s">
        <v>487</v>
      </c>
      <c r="R208" s="486">
        <f>+GETPIVOTDATA("Sum of Old-HS % of Total",'Pivot-HS Student % of Undergrad'!$A$3,"State","SC","Category",12,"Category2","Technical")</f>
        <v>0</v>
      </c>
      <c r="S208" s="546" t="e">
        <f>+'Pivot-HS Student % of Undergrad'!AI89*100</f>
        <v>#VALUE!</v>
      </c>
      <c r="T208" s="556">
        <f>+GETPIVOTDATA("Sum of Old-HS % of Total",'Pivot-HS Student % of Undergrad'!$A$3,"State","SC","Category",13,"Category2","Technical")</f>
        <v>0</v>
      </c>
      <c r="U208" s="546" t="e">
        <f>+'Pivot-HS Student % of Undergrad'!AJ89*100</f>
        <v>#VALUE!</v>
      </c>
      <c r="V208" s="556">
        <f>+GETPIVOTDATA("Sum of Old-HS % of Total",'Pivot-HS Student % of Undergrad'!$A$3,"State","SC","Category",14,"Category2","Technical")</f>
        <v>0</v>
      </c>
      <c r="W208" s="546" t="e">
        <f>+'Pivot-HS Student % of Undergrad'!AK89*100</f>
        <v>#VALUE!</v>
      </c>
      <c r="X208" s="556">
        <f>+GETPIVOTDATA("Sum of Old-HS % of Total",'Pivot-HS Student % of Undergrad'!$A$3,"State","SC","Category2","Technical")</f>
        <v>0</v>
      </c>
      <c r="Y208" s="546" t="e">
        <f>+'Pivot-HS Student % of Undergrad'!AL89*100</f>
        <v>#VALUE!</v>
      </c>
      <c r="AA208" s="251" t="s">
        <v>487</v>
      </c>
      <c r="AB208" s="266"/>
      <c r="AC208" s="268"/>
      <c r="AD208" s="266"/>
      <c r="AE208" s="268"/>
      <c r="AL208" s="124" t="s">
        <v>487</v>
      </c>
      <c r="AM208" s="85">
        <f>+B208</f>
        <v>0</v>
      </c>
      <c r="AN208" s="84">
        <f>+D208</f>
        <v>0</v>
      </c>
      <c r="AO208" s="84">
        <f>+F208</f>
        <v>0</v>
      </c>
      <c r="AP208" s="84">
        <f>+H208</f>
        <v>0</v>
      </c>
      <c r="AQ208" s="124"/>
      <c r="AR208" s="124"/>
      <c r="AS208" s="159"/>
      <c r="AT208" s="157"/>
      <c r="AU208" s="84"/>
      <c r="AV208" s="157"/>
      <c r="AW208" s="124" t="s">
        <v>487</v>
      </c>
      <c r="AX208" s="123">
        <f>+Tables!AA116+Tables!AI147</f>
        <v>0</v>
      </c>
      <c r="AY208" s="122">
        <f>+Tables!AB116+Tables!AJ147</f>
        <v>0</v>
      </c>
      <c r="AZ208" s="84">
        <f>+Tables!AC116+Tables!AK147</f>
        <v>0</v>
      </c>
      <c r="BA208" s="84">
        <f>+Tables!AD116+Tables!AL147</f>
        <v>0</v>
      </c>
      <c r="BB208" s="124"/>
      <c r="BC208" s="124"/>
    </row>
    <row r="209" spans="1:55">
      <c r="B209" s="428"/>
      <c r="C209" s="120"/>
      <c r="D209" s="430"/>
      <c r="E209" s="120"/>
      <c r="F209" s="428"/>
      <c r="G209" s="120"/>
      <c r="H209" s="430"/>
      <c r="I209" s="120"/>
      <c r="J209" s="1"/>
      <c r="K209" s="1"/>
      <c r="L209" s="1"/>
      <c r="M209" s="471"/>
      <c r="Q209" s="25"/>
      <c r="R209" s="486"/>
      <c r="S209" s="546"/>
      <c r="T209" s="556"/>
      <c r="U209" s="546"/>
      <c r="V209" s="556"/>
      <c r="W209" s="546"/>
      <c r="X209" s="556"/>
      <c r="Y209" s="546"/>
      <c r="AA209" s="251"/>
      <c r="AB209" s="266"/>
      <c r="AC209" s="268"/>
      <c r="AD209" s="266"/>
      <c r="AE209" s="268"/>
      <c r="AL209" s="124"/>
      <c r="AM209" s="85"/>
      <c r="AN209" s="84"/>
      <c r="AO209" s="84"/>
      <c r="AP209" s="84"/>
      <c r="AQ209" s="124"/>
      <c r="AR209" s="124"/>
      <c r="AS209" s="159"/>
      <c r="AT209" s="157"/>
      <c r="AU209" s="84"/>
      <c r="AV209" s="157"/>
      <c r="AW209" s="124"/>
      <c r="AX209" s="123"/>
      <c r="AY209" s="122"/>
      <c r="AZ209" s="84"/>
      <c r="BA209" s="84"/>
      <c r="BB209" s="124"/>
      <c r="BC209" s="124"/>
    </row>
    <row r="210" spans="1:55">
      <c r="A210" s="1" t="s">
        <v>488</v>
      </c>
      <c r="B210" s="428">
        <f>+Tables!G118+Tables!G149</f>
        <v>0</v>
      </c>
      <c r="C210" s="120">
        <f>+GETPIVOTDATA("Sum of New-HS % of Total",'Pivot-HS Student % of Undergrad'!$A$3,"State","TN","Category",12,"Category2","Technical")</f>
        <v>0</v>
      </c>
      <c r="D210" s="430">
        <f>+Tables!H118+Tables!H149</f>
        <v>11037.255555555552</v>
      </c>
      <c r="E210" s="120">
        <f>+GETPIVOTDATA("Sum of New-HS % of Total",'Pivot-HS Student % of Undergrad'!$A$3,"State","TN","Category",13,"Category2","Technical")</f>
        <v>0</v>
      </c>
      <c r="F210" s="428">
        <f>+Tables!I118+Tables!I149</f>
        <v>0</v>
      </c>
      <c r="G210" s="120">
        <f>+GETPIVOTDATA("Sum of New-HS % of Total",'Pivot-HS Student % of Undergrad'!$A$3,"State","TN","Category",14,"Category2","Technical")</f>
        <v>0</v>
      </c>
      <c r="H210" s="430">
        <f>+Tables!J118+Tables!J149</f>
        <v>11037.255555555552</v>
      </c>
      <c r="I210" s="120">
        <f>+GETPIVOTDATA("Sum of New-HS % of Total",'Pivot-HS Student % of Undergrad'!$A$3,"State","TN","Category2","Group3")</f>
        <v>0</v>
      </c>
      <c r="J210" s="1"/>
      <c r="K210" s="1"/>
      <c r="L210" s="1"/>
      <c r="M210" s="471"/>
      <c r="Q210" s="25" t="s">
        <v>488</v>
      </c>
      <c r="R210" s="486">
        <f>+GETPIVOTDATA("Sum of Old-HS % of Total",'Pivot-HS Student % of Undergrad'!$A$3,"State","TN","Category",12,"Category2","Technical")</f>
        <v>0</v>
      </c>
      <c r="S210" s="546" t="e">
        <f>+'Pivot-HS Student % of Undergrad'!AI96*100</f>
        <v>#VALUE!</v>
      </c>
      <c r="T210" s="556">
        <f>+GETPIVOTDATA("Sum of Old-HS % of Total",'Pivot-HS Student % of Undergrad'!$A$3,"State","TN","Category",13,"Category2","Technical")</f>
        <v>0</v>
      </c>
      <c r="U210" s="546" t="e">
        <f>+'Pivot-HS Student % of Undergrad'!AJ96*100</f>
        <v>#VALUE!</v>
      </c>
      <c r="V210" s="556">
        <f>+GETPIVOTDATA("Sum of Old-HS % of Total",'Pivot-HS Student % of Undergrad'!$A$3,"State","TN","Category",14,"Category2","Technical")</f>
        <v>0</v>
      </c>
      <c r="W210" s="546" t="e">
        <f>+'Pivot-HS Student % of Undergrad'!AK96*100</f>
        <v>#VALUE!</v>
      </c>
      <c r="X210" s="556">
        <f>+GETPIVOTDATA("Sum of Old-HS % of Total",'Pivot-HS Student % of Undergrad'!$A$3,"State","TN","Category2","Technical")</f>
        <v>0</v>
      </c>
      <c r="Y210" s="546" t="e">
        <f>+'Pivot-HS Student % of Undergrad'!AL96*100</f>
        <v>#VALUE!</v>
      </c>
      <c r="AA210" s="251" t="s">
        <v>488</v>
      </c>
      <c r="AB210" s="266">
        <f>+Tables!AA118+Tables!AI149</f>
        <v>0</v>
      </c>
      <c r="AC210" s="268">
        <f>+Tables!AB118+Tables!AJ149</f>
        <v>10283.096666666668</v>
      </c>
      <c r="AD210" s="266">
        <f>+Tables!AC118+Tables!AK149</f>
        <v>0</v>
      </c>
      <c r="AE210" s="268">
        <f>+Tables!AD118+Tables!AL149</f>
        <v>10283.096666666668</v>
      </c>
      <c r="AL210" s="124" t="s">
        <v>488</v>
      </c>
      <c r="AM210" s="85">
        <f>+B210</f>
        <v>0</v>
      </c>
      <c r="AN210" s="84">
        <f>+D210</f>
        <v>11037.255555555552</v>
      </c>
      <c r="AO210" s="84">
        <f>+F210</f>
        <v>0</v>
      </c>
      <c r="AP210" s="84">
        <f>+H210</f>
        <v>11037.255555555552</v>
      </c>
      <c r="AQ210" s="124"/>
      <c r="AR210" s="124"/>
      <c r="AS210" s="159"/>
      <c r="AT210" s="157"/>
      <c r="AU210" s="84"/>
      <c r="AV210" s="157"/>
      <c r="AW210" s="124" t="s">
        <v>488</v>
      </c>
      <c r="AX210" s="123">
        <f>+Tables!AA118+Tables!AI149</f>
        <v>0</v>
      </c>
      <c r="AY210" s="122">
        <f>+Tables!AB118+Tables!AJ149</f>
        <v>10283.096666666668</v>
      </c>
      <c r="AZ210" s="84">
        <f>+Tables!AC118+Tables!AK149</f>
        <v>0</v>
      </c>
      <c r="BA210" s="84">
        <f>+Tables!AD118+Tables!AL149</f>
        <v>10283.096666666668</v>
      </c>
      <c r="BB210" s="124"/>
      <c r="BC210" s="124"/>
    </row>
    <row r="211" spans="1:55">
      <c r="A211" s="1" t="s">
        <v>489</v>
      </c>
      <c r="B211" s="428">
        <f>+Tables!G119+Tables!G150</f>
        <v>0</v>
      </c>
      <c r="C211" s="486">
        <f>+GETPIVOTDATA("Sum of New-HS % of Total",'Pivot-HS Student % of Undergrad'!$A$3,"State","TX","Category",12,"Category2","Technical")</f>
        <v>0</v>
      </c>
      <c r="D211" s="430">
        <f>+Tables!H119+Tables!H150</f>
        <v>0</v>
      </c>
      <c r="E211" s="486">
        <f>+GETPIVOTDATA("Sum of New-HS % of Total",'Pivot-HS Student % of Undergrad'!$A$3,"State","TX","Category",13,"Category2","Technical")</f>
        <v>0</v>
      </c>
      <c r="F211" s="428">
        <f>+Tables!I119+Tables!I150</f>
        <v>0</v>
      </c>
      <c r="G211" s="486">
        <f>+GETPIVOTDATA("Sum of New-HS % of Total",'Pivot-HS Student % of Undergrad'!$A$3,"State","TX","Category",14,"Category2","Technical")</f>
        <v>0</v>
      </c>
      <c r="H211" s="430">
        <f>+Tables!J119+Tables!J150</f>
        <v>0</v>
      </c>
      <c r="I211" s="120">
        <f>+GETPIVOTDATA("Sum of New-HS % of Total",'Pivot-HS Student % of Undergrad'!$A$3,"State","TX","Category2","Group3")</f>
        <v>0</v>
      </c>
      <c r="J211" s="1"/>
      <c r="K211" s="1"/>
      <c r="L211" s="1"/>
      <c r="M211" s="471"/>
      <c r="Q211" s="25" t="s">
        <v>489</v>
      </c>
      <c r="R211" s="486">
        <f>+GETPIVOTDATA("Sum of Old-HS % of Total",'Pivot-HS Student % of Undergrad'!$A$3,"State","TX","Category",12,"Category2","Technical")</f>
        <v>0</v>
      </c>
      <c r="S211" s="560" t="e">
        <f>+'Pivot-HS Student % of Undergrad'!AI103*100</f>
        <v>#VALUE!</v>
      </c>
      <c r="T211" s="556">
        <f>+GETPIVOTDATA("Sum of Old-HS % of Total",'Pivot-HS Student % of Undergrad'!$A$3,"State","TX","Category",13,"Category2","Technical")</f>
        <v>0</v>
      </c>
      <c r="U211" s="560" t="e">
        <f>+'Pivot-HS Student % of Undergrad'!AJ103*100</f>
        <v>#VALUE!</v>
      </c>
      <c r="V211" s="556">
        <f>+GETPIVOTDATA("Sum of Old-HS % of Total",'Pivot-HS Student % of Undergrad'!$A$3,"State","TX","Category",14,"Category2","Technical")</f>
        <v>0</v>
      </c>
      <c r="W211" s="560" t="e">
        <f>+'Pivot-HS Student % of Undergrad'!AK103*100</f>
        <v>#VALUE!</v>
      </c>
      <c r="X211" s="556">
        <f>+GETPIVOTDATA("Sum of Old-HS % of Total",'Pivot-HS Student % of Undergrad'!$A$3,"State","TX","Category2","Technical")</f>
        <v>0</v>
      </c>
      <c r="Y211" s="560" t="e">
        <f>+'Pivot-HS Student % of Undergrad'!AL103*100</f>
        <v>#VALUE!</v>
      </c>
      <c r="AA211" s="251" t="s">
        <v>489</v>
      </c>
      <c r="AB211" s="266">
        <f>+Tables!AA119+Tables!AI150</f>
        <v>0</v>
      </c>
      <c r="AC211" s="268">
        <f>+Tables!AB119+Tables!AJ150</f>
        <v>0</v>
      </c>
      <c r="AD211" s="266">
        <f>+Tables!AC119+Tables!AK150</f>
        <v>0</v>
      </c>
      <c r="AE211" s="268">
        <f>+Tables!AD119+Tables!AL150</f>
        <v>0</v>
      </c>
      <c r="AL211" s="124" t="s">
        <v>489</v>
      </c>
      <c r="AM211" s="85">
        <f>+B211</f>
        <v>0</v>
      </c>
      <c r="AN211" s="84">
        <f>+D211</f>
        <v>0</v>
      </c>
      <c r="AO211" s="84">
        <f>+F211</f>
        <v>0</v>
      </c>
      <c r="AP211" s="84">
        <f>+H211</f>
        <v>0</v>
      </c>
      <c r="AQ211" s="124"/>
      <c r="AR211" s="124"/>
      <c r="AS211" s="159"/>
      <c r="AT211" s="157"/>
      <c r="AU211" s="84"/>
      <c r="AV211" s="157"/>
      <c r="AW211" s="124" t="s">
        <v>489</v>
      </c>
      <c r="AX211" s="123">
        <f>+Tables!AA119+Tables!AI150</f>
        <v>0</v>
      </c>
      <c r="AY211" s="122">
        <f>+Tables!AB119+Tables!AJ150</f>
        <v>0</v>
      </c>
      <c r="AZ211" s="84">
        <f>+Tables!AC119+Tables!AK150</f>
        <v>0</v>
      </c>
      <c r="BA211" s="84">
        <f>+Tables!AD119+Tables!AL150</f>
        <v>0</v>
      </c>
      <c r="BB211" s="124"/>
      <c r="BC211" s="124"/>
    </row>
    <row r="212" spans="1:55">
      <c r="A212" s="1" t="s">
        <v>490</v>
      </c>
      <c r="B212" s="428">
        <f>+Tables!G120+Tables!G151</f>
        <v>0</v>
      </c>
      <c r="C212" s="486">
        <f>+GETPIVOTDATA("Sum of New-HS % of Total",'Pivot-HS Student % of Undergrad'!$A$3,"State","VA","Category",12,"Category2","Technical")</f>
        <v>0</v>
      </c>
      <c r="D212" s="430">
        <f>+Tables!H120+Tables!H151</f>
        <v>0</v>
      </c>
      <c r="E212" s="486">
        <f>+GETPIVOTDATA("Sum of New-HS % of Total",'Pivot-HS Student % of Undergrad'!$A$3,"State","VA","Category",13,"Category2","Technical")</f>
        <v>0</v>
      </c>
      <c r="F212" s="428">
        <f>+Tables!I120+Tables!I151</f>
        <v>0</v>
      </c>
      <c r="G212" s="486">
        <f>+GETPIVOTDATA("Sum of New-HS % of Total",'Pivot-HS Student % of Undergrad'!$A$3,"State","VA","Category",14,"Category2","Technical")</f>
        <v>0</v>
      </c>
      <c r="H212" s="430">
        <f>+Tables!J120+Tables!J151</f>
        <v>0</v>
      </c>
      <c r="I212" s="120">
        <f>+GETPIVOTDATA("Sum of New-HS % of Total",'Pivot-HS Student % of Undergrad'!$A$3,"State","VA","Category2","Group3")</f>
        <v>0</v>
      </c>
      <c r="J212" s="1"/>
      <c r="K212" s="1"/>
      <c r="L212" s="1"/>
      <c r="M212" s="471"/>
      <c r="Q212" s="25" t="s">
        <v>490</v>
      </c>
      <c r="R212" s="486">
        <f>+GETPIVOTDATA("Sum of Old-HS % of Total",'Pivot-HS Student % of Undergrad'!$A$3,"State","VA","Category",12,"Category2","Technical")</f>
        <v>0</v>
      </c>
      <c r="S212" s="546" t="e">
        <f>-'Pivot-HS Student % of Undergrad'!AI110*100</f>
        <v>#VALUE!</v>
      </c>
      <c r="T212" s="556">
        <f>+GETPIVOTDATA("Sum of Old-HS % of Total",'Pivot-HS Student % of Undergrad'!$A$3,"State","VA","Category",13,"Category2","Technical")</f>
        <v>0</v>
      </c>
      <c r="U212" s="546" t="e">
        <f>+'Pivot-HS Student % of Undergrad'!AJ110*100</f>
        <v>#VALUE!</v>
      </c>
      <c r="V212" s="556">
        <f>+GETPIVOTDATA("Sum of Old-HS % of Total",'Pivot-HS Student % of Undergrad'!$A$3,"State","VA","Category",14,"Category2","Technical")</f>
        <v>0</v>
      </c>
      <c r="W212" s="546" t="e">
        <f>+'Pivot-HS Student % of Undergrad'!AK110*100</f>
        <v>#VALUE!</v>
      </c>
      <c r="X212" s="556">
        <f>+GETPIVOTDATA("Sum of Old-HS % of Total",'Pivot-HS Student % of Undergrad'!$A$3,"State","VA","Category2","Technical")</f>
        <v>0</v>
      </c>
      <c r="Y212" s="546" t="e">
        <f>+'Pivot-HS Student % of Undergrad'!AL110*100</f>
        <v>#VALUE!</v>
      </c>
      <c r="AA212" s="251" t="s">
        <v>490</v>
      </c>
      <c r="AB212" s="266">
        <f>+Tables!AA120+Tables!AI151</f>
        <v>0</v>
      </c>
      <c r="AC212" s="268">
        <f>+Tables!AB120+Tables!AJ151</f>
        <v>0</v>
      </c>
      <c r="AD212" s="266">
        <f>+Tables!AC120+Tables!AK151</f>
        <v>0</v>
      </c>
      <c r="AE212" s="268">
        <f>+Tables!AD120+Tables!AL151</f>
        <v>0</v>
      </c>
      <c r="AL212" s="124" t="s">
        <v>490</v>
      </c>
      <c r="AM212" s="85">
        <f>+B212</f>
        <v>0</v>
      </c>
      <c r="AN212" s="84">
        <f>+D212</f>
        <v>0</v>
      </c>
      <c r="AO212" s="84">
        <f>+F212</f>
        <v>0</v>
      </c>
      <c r="AP212" s="84">
        <f>+H212</f>
        <v>0</v>
      </c>
      <c r="AQ212" s="124"/>
      <c r="AR212" s="124"/>
      <c r="AS212" s="159"/>
      <c r="AT212" s="157"/>
      <c r="AU212" s="84"/>
      <c r="AV212" s="157"/>
      <c r="AW212" s="124" t="s">
        <v>490</v>
      </c>
      <c r="AX212" s="123">
        <f>+Tables!AA120+Tables!AI151</f>
        <v>0</v>
      </c>
      <c r="AY212" s="122">
        <f>+Tables!AB120+Tables!AJ151</f>
        <v>0</v>
      </c>
      <c r="AZ212" s="84">
        <f>+Tables!AC120+Tables!AK151</f>
        <v>0</v>
      </c>
      <c r="BA212" s="84">
        <f>+Tables!AD120+Tables!AL151</f>
        <v>0</v>
      </c>
      <c r="BB212" s="124"/>
      <c r="BC212" s="124"/>
    </row>
    <row r="213" spans="1:55">
      <c r="A213" s="3" t="s">
        <v>491</v>
      </c>
      <c r="B213" s="429">
        <f>+Tables!G121+Tables!G152</f>
        <v>0</v>
      </c>
      <c r="C213" s="489">
        <f>+GETPIVOTDATA("Sum of New-HS % of Total",'Pivot-HS Student % of Undergrad'!$A$3,"State","WV","Category",12,"Category2","Technical")</f>
        <v>0</v>
      </c>
      <c r="D213" s="432">
        <f>+Tables!H121+Tables!H152</f>
        <v>0</v>
      </c>
      <c r="E213" s="489">
        <f>+GETPIVOTDATA("Sum of New-HS % of Total",'Pivot-HS Student % of Undergrad'!$A$3,"State","WV","Category",13,"Category2","Technical")</f>
        <v>0</v>
      </c>
      <c r="F213" s="429">
        <f>+Tables!I121+Tables!I152</f>
        <v>0</v>
      </c>
      <c r="G213" s="489">
        <f>+GETPIVOTDATA("Sum of New-HS % of Total",'Pivot-HS Student % of Undergrad'!$A$3,"State","WV","Category",14,"Category2","Technical")</f>
        <v>0</v>
      </c>
      <c r="H213" s="432">
        <f>+Tables!J121+Tables!J152</f>
        <v>0</v>
      </c>
      <c r="I213" s="489">
        <f>+GETPIVOTDATA("Sum of New-HS % of Total",'Pivot-HS Student % of Undergrad'!$A$3,"State","WV","Category2","Group3")</f>
        <v>0</v>
      </c>
      <c r="J213" s="1"/>
      <c r="K213" s="1"/>
      <c r="L213" s="1"/>
      <c r="M213" s="471"/>
      <c r="Q213" s="3" t="s">
        <v>491</v>
      </c>
      <c r="R213" s="489">
        <f>+GETPIVOTDATA("Sum of Old-HS % of Total",'Pivot-HS Student % of Undergrad'!$A$3,"State","WV","Category",12,"Category2","Technical")</f>
        <v>0</v>
      </c>
      <c r="S213" s="555" t="e">
        <f>+'Pivot-HS Student % of Undergrad'!AI117*100</f>
        <v>#VALUE!</v>
      </c>
      <c r="T213" s="557">
        <f>+GETPIVOTDATA("Sum of Old-HS % of Total",'Pivot-HS Student % of Undergrad'!$A$3,"State","WV","Category",13,"Category2","Technical")</f>
        <v>0</v>
      </c>
      <c r="U213" s="555" t="e">
        <f>+'Pivot-HS Student % of Undergrad'!AJ117*100</f>
        <v>#VALUE!</v>
      </c>
      <c r="V213" s="557">
        <f>+GETPIVOTDATA("Sum of Old-HS % of Total",'Pivot-HS Student % of Undergrad'!$A$3,"State","WV","Category",14,"Category2","Technical")</f>
        <v>0</v>
      </c>
      <c r="W213" s="555" t="e">
        <f>+'Pivot-HS Student % of Undergrad'!AK117*100</f>
        <v>#VALUE!</v>
      </c>
      <c r="X213" s="557">
        <f>+GETPIVOTDATA("Sum of Old-HS % of Total",'Pivot-HS Student % of Undergrad'!$A$3,"State","WV","Category2","Technical")</f>
        <v>0</v>
      </c>
      <c r="Y213" s="555" t="e">
        <f>+'Pivot-HS Student % of Undergrad'!AL117*100</f>
        <v>#VALUE!</v>
      </c>
      <c r="AA213" s="262" t="s">
        <v>491</v>
      </c>
      <c r="AB213" s="269">
        <f>+Tables!AA121+Tables!AI152</f>
        <v>0</v>
      </c>
      <c r="AC213" s="270">
        <f>+Tables!AB121+Tables!AJ152</f>
        <v>0</v>
      </c>
      <c r="AD213" s="269">
        <f>+Tables!AC121+Tables!AK152</f>
        <v>0</v>
      </c>
      <c r="AE213" s="270">
        <f>+Tables!AD121+Tables!AL152</f>
        <v>0</v>
      </c>
      <c r="AL213" s="125" t="s">
        <v>491</v>
      </c>
      <c r="AM213" s="150">
        <f>+B213</f>
        <v>0</v>
      </c>
      <c r="AN213" s="121">
        <f>+D213</f>
        <v>0</v>
      </c>
      <c r="AO213" s="121">
        <f>+F213</f>
        <v>0</v>
      </c>
      <c r="AP213" s="121">
        <f>+H213</f>
        <v>0</v>
      </c>
      <c r="AQ213" s="125"/>
      <c r="AR213" s="124"/>
      <c r="AS213" s="159"/>
      <c r="AT213" s="157"/>
      <c r="AU213" s="84"/>
      <c r="AV213" s="157"/>
      <c r="AW213" s="125" t="s">
        <v>491</v>
      </c>
      <c r="AX213" s="123">
        <f>+Tables!AA121+Tables!AI152</f>
        <v>0</v>
      </c>
      <c r="AY213" s="122">
        <f>+Tables!AB121+Tables!AJ152</f>
        <v>0</v>
      </c>
      <c r="AZ213" s="84">
        <f>+Tables!AC121+Tables!AK152</f>
        <v>0</v>
      </c>
      <c r="BA213" s="84">
        <f>+Tables!AD121+Tables!AL152</f>
        <v>0</v>
      </c>
      <c r="BB213" s="124"/>
      <c r="BC213" s="124"/>
    </row>
    <row r="214" spans="1:55">
      <c r="A214" s="77"/>
      <c r="J214" s="1"/>
      <c r="K214" s="1"/>
      <c r="L214" s="1"/>
      <c r="M214" s="471"/>
      <c r="AF214" s="124"/>
      <c r="AG214" s="249"/>
      <c r="AH214" s="249"/>
      <c r="AI214" s="249"/>
      <c r="AJ214" s="249"/>
      <c r="AK214" s="124"/>
      <c r="AL214" s="124"/>
      <c r="AM214" s="159"/>
      <c r="AN214" s="157"/>
      <c r="AO214" s="84"/>
      <c r="AP214" s="157"/>
      <c r="AQ214" s="124"/>
      <c r="AR214" s="249"/>
      <c r="AS214" s="249"/>
      <c r="AT214" s="249"/>
      <c r="AU214" s="249"/>
      <c r="AV214" s="124"/>
      <c r="AW214" s="124"/>
      <c r="AX214" s="159"/>
      <c r="AY214" s="159"/>
      <c r="AZ214" s="84"/>
      <c r="BA214" s="157"/>
      <c r="BB214" s="124"/>
      <c r="BC214" s="124"/>
    </row>
    <row r="215" spans="1:55" ht="54" customHeight="1">
      <c r="A215" s="674" t="s">
        <v>105</v>
      </c>
      <c r="B215" s="674"/>
      <c r="C215" s="674"/>
      <c r="D215" s="674"/>
      <c r="E215" s="674"/>
      <c r="F215" s="674"/>
      <c r="G215" s="674"/>
      <c r="H215" s="674"/>
      <c r="I215" s="674"/>
      <c r="J215" s="1"/>
      <c r="K215" s="1"/>
      <c r="L215" s="1"/>
      <c r="M215" s="471"/>
    </row>
    <row r="216" spans="1:55" ht="10.5" customHeight="1">
      <c r="A216" s="416"/>
      <c r="B216" s="416"/>
      <c r="C216" s="416"/>
      <c r="D216" s="416"/>
      <c r="E216" s="416"/>
      <c r="F216" s="416"/>
      <c r="G216" s="416"/>
      <c r="H216" s="416"/>
      <c r="I216" s="424" t="s">
        <v>950</v>
      </c>
      <c r="J216" s="1"/>
      <c r="K216" s="1"/>
      <c r="L216" s="1"/>
      <c r="M216" s="471"/>
      <c r="S216" s="424"/>
      <c r="AF216" s="124"/>
      <c r="AG216" s="249"/>
      <c r="AH216" s="249"/>
      <c r="AI216" s="249"/>
      <c r="AJ216" s="249"/>
      <c r="AK216" s="124"/>
      <c r="AL216" s="124"/>
      <c r="AM216" s="159"/>
      <c r="AN216" s="157"/>
      <c r="AO216" s="84"/>
      <c r="AP216" s="157"/>
      <c r="AQ216" s="124"/>
      <c r="AR216" s="249"/>
      <c r="AS216" s="249"/>
      <c r="AT216" s="249"/>
      <c r="AU216" s="249"/>
      <c r="AV216" s="124"/>
      <c r="AW216" s="124"/>
      <c r="AX216" s="159"/>
      <c r="AY216" s="159"/>
      <c r="AZ216" s="84"/>
      <c r="BA216" s="157"/>
      <c r="BB216" s="124"/>
      <c r="BC216" s="124"/>
    </row>
    <row r="217" spans="1:55" ht="18">
      <c r="A217" s="536" t="s">
        <v>944</v>
      </c>
      <c r="B217" s="20"/>
      <c r="C217" s="20"/>
      <c r="D217" s="35"/>
      <c r="E217" s="17"/>
      <c r="F217" s="22"/>
      <c r="G217" s="22"/>
      <c r="H217" s="130"/>
      <c r="AG217" s="250" t="s">
        <v>439</v>
      </c>
      <c r="AH217" s="124"/>
      <c r="AI217" s="124"/>
      <c r="AJ217" s="124"/>
      <c r="AR217" s="250" t="s">
        <v>439</v>
      </c>
      <c r="AS217" s="124"/>
      <c r="AT217" s="124"/>
      <c r="AU217" s="124"/>
    </row>
    <row r="218" spans="1:55" ht="9.75" customHeight="1">
      <c r="A218" s="21"/>
      <c r="B218" s="21"/>
      <c r="C218" s="21"/>
      <c r="D218" s="36"/>
      <c r="E218" s="17"/>
      <c r="F218" s="22"/>
      <c r="G218" s="22"/>
      <c r="H218" s="130"/>
      <c r="AG218" s="156" t="s">
        <v>445</v>
      </c>
      <c r="AH218" s="157" t="s">
        <v>446</v>
      </c>
      <c r="AI218" s="84">
        <f>+I185</f>
        <v>0</v>
      </c>
      <c r="AJ218" s="157" t="s">
        <v>447</v>
      </c>
      <c r="AR218" s="158" t="s">
        <v>448</v>
      </c>
      <c r="AS218" s="159" t="s">
        <v>449</v>
      </c>
      <c r="AT218" s="84">
        <f>+Tables!V124+Tables!AH155</f>
        <v>0</v>
      </c>
      <c r="AU218" s="157" t="s">
        <v>450</v>
      </c>
    </row>
    <row r="219" spans="1:55" ht="15.75">
      <c r="A219" s="44" t="s">
        <v>435</v>
      </c>
      <c r="B219" s="44"/>
      <c r="C219" s="44"/>
      <c r="D219" s="63"/>
      <c r="E219" s="17"/>
      <c r="F219" s="22"/>
      <c r="G219" s="22"/>
      <c r="H219" s="130"/>
      <c r="AR219" s="159"/>
      <c r="AS219" s="159"/>
      <c r="AT219" s="84"/>
      <c r="AU219" s="157"/>
    </row>
    <row r="220" spans="1:55" ht="15.75">
      <c r="A220" s="44" t="s">
        <v>424</v>
      </c>
      <c r="B220" s="44"/>
      <c r="C220" s="44"/>
      <c r="D220" s="63"/>
      <c r="E220" s="17"/>
      <c r="F220" s="22"/>
      <c r="G220" s="22"/>
      <c r="H220" s="130"/>
    </row>
    <row r="221" spans="1:55" ht="15.75">
      <c r="A221" s="44" t="s">
        <v>103</v>
      </c>
      <c r="B221" s="44"/>
      <c r="C221" s="44"/>
      <c r="D221" s="63"/>
      <c r="E221" s="17"/>
      <c r="F221" s="22"/>
      <c r="G221" s="22"/>
      <c r="H221" s="130"/>
      <c r="I221" s="25"/>
      <c r="U221" s="1" t="s">
        <v>438</v>
      </c>
      <c r="V221" s="544" t="s">
        <v>931</v>
      </c>
    </row>
    <row r="222" spans="1:55" ht="13.5" customHeight="1">
      <c r="B222" s="2"/>
      <c r="C222" s="2"/>
      <c r="D222" s="26"/>
      <c r="I222" s="25"/>
      <c r="V222" s="160" t="s">
        <v>441</v>
      </c>
      <c r="W222" s="69"/>
      <c r="X222" s="69"/>
      <c r="Y222" s="82"/>
      <c r="Z222" s="518" t="s">
        <v>48</v>
      </c>
      <c r="AA222" s="519"/>
      <c r="AB222" s="69"/>
      <c r="AC222" s="69"/>
      <c r="AD222" s="518" t="s">
        <v>560</v>
      </c>
      <c r="AE222" s="519"/>
      <c r="AF222" s="69"/>
      <c r="AG222" s="69"/>
    </row>
    <row r="223" spans="1:55" ht="63" customHeight="1">
      <c r="A223" s="64"/>
      <c r="B223" s="65" t="s">
        <v>474</v>
      </c>
      <c r="C223" s="37"/>
      <c r="D223" s="65" t="s">
        <v>475</v>
      </c>
      <c r="E223" s="66" t="s">
        <v>421</v>
      </c>
      <c r="F223" s="66" t="s">
        <v>453</v>
      </c>
      <c r="G223" s="67" t="s">
        <v>421</v>
      </c>
      <c r="H223" s="145" t="s">
        <v>467</v>
      </c>
      <c r="I223" s="75"/>
      <c r="V223" s="70" t="s">
        <v>474</v>
      </c>
      <c r="W223" s="70" t="s">
        <v>475</v>
      </c>
      <c r="X223" s="71" t="s">
        <v>453</v>
      </c>
      <c r="Y223" s="83" t="s">
        <v>430</v>
      </c>
      <c r="Z223" s="520" t="s">
        <v>474</v>
      </c>
      <c r="AA223" s="70" t="s">
        <v>475</v>
      </c>
      <c r="AB223" s="71" t="s">
        <v>453</v>
      </c>
      <c r="AC223" s="71" t="s">
        <v>430</v>
      </c>
      <c r="AD223" s="520" t="s">
        <v>474</v>
      </c>
      <c r="AE223" s="70" t="s">
        <v>475</v>
      </c>
      <c r="AF223" s="71" t="s">
        <v>453</v>
      </c>
      <c r="AG223" s="71" t="s">
        <v>430</v>
      </c>
    </row>
    <row r="224" spans="1:55" ht="15" customHeight="1">
      <c r="A224" s="1" t="s">
        <v>476</v>
      </c>
      <c r="B224" s="68">
        <f>+GETPIVOTDATA("Grand Total FTE - New",'FTE Pivot for regular counts'!$A$2,"Category2","Four-Year")</f>
        <v>2169412.5269444445</v>
      </c>
      <c r="D224" s="15">
        <f>+GETPIVOTDATA("Grand Total FTE - New",'FTE Pivot for regular counts'!$A$2,"Category2","Two-Year")</f>
        <v>1638926.2106666665</v>
      </c>
      <c r="F224" s="40">
        <f>+GETPIVOTDATA("Grand Total FTE - New",'FTE Pivot for regular counts'!$A$2,"Category2","Technical")</f>
        <v>127199.50016666666</v>
      </c>
      <c r="G224" s="38"/>
      <c r="H224" s="146">
        <f>+F224+D224+B224</f>
        <v>3935538.2377777779</v>
      </c>
      <c r="I224" s="25"/>
      <c r="U224" s="1" t="s">
        <v>476</v>
      </c>
      <c r="V224" s="68">
        <f>+GETPIVOTDATA("Grand Total FTE - Old",'FTE Pivot for regular counts'!$A$2,"Category2","Four-Year")</f>
        <v>2130624.1669444442</v>
      </c>
      <c r="W224" s="15">
        <f>+GETPIVOTDATA("Grand Total FTE - Old",'FTE Pivot for regular counts'!$A$2,"Category2","Two-Year")</f>
        <v>1558743.9016666666</v>
      </c>
      <c r="X224" s="40">
        <f>+GETPIVOTDATA("Grand Total FTE - Old",'FTE Pivot for regular counts'!$A$2,"Category2","Technical")</f>
        <v>122168.65838888887</v>
      </c>
      <c r="Y224" s="112">
        <f>SUM(V224:X224)</f>
        <v>3811536.7269999995</v>
      </c>
      <c r="Z224" s="523">
        <f>+B224-V224</f>
        <v>38788.360000000335</v>
      </c>
      <c r="AA224" s="524">
        <f>+D224-W224</f>
        <v>80182.308999999892</v>
      </c>
      <c r="AB224" s="525">
        <f>+F224-X224</f>
        <v>5030.8417777777941</v>
      </c>
      <c r="AC224" s="525">
        <f>+H224-Y224</f>
        <v>124001.51077777846</v>
      </c>
      <c r="AD224" s="521">
        <f>(B224-V224)/V224</f>
        <v>1.8205162882211755E-2</v>
      </c>
      <c r="AE224" s="522">
        <f>(D224-W224)/W224</f>
        <v>5.1440335332998577E-2</v>
      </c>
      <c r="AF224" s="72">
        <f t="shared" ref="AF224:AF241" si="6">IF(X224&gt;0,((F224-X224)/X224),)</f>
        <v>4.1179479615496416E-2</v>
      </c>
      <c r="AG224" s="72">
        <f>(H224-Y224)/Y224</f>
        <v>3.2533206331027041E-2</v>
      </c>
      <c r="AH224" s="1" t="s">
        <v>476</v>
      </c>
      <c r="AI224" s="120"/>
      <c r="AJ224" s="120"/>
      <c r="AK224" s="120"/>
      <c r="AL224" s="120"/>
    </row>
    <row r="225" spans="1:38" ht="13.5" customHeight="1">
      <c r="B225" s="15"/>
      <c r="D225" s="15"/>
      <c r="F225" s="40"/>
      <c r="G225" s="38"/>
      <c r="H225" s="146"/>
      <c r="I225" s="25"/>
      <c r="V225" s="15"/>
      <c r="W225" s="15"/>
      <c r="X225" s="40"/>
      <c r="Y225" s="113"/>
      <c r="Z225" s="523"/>
      <c r="AA225" s="524"/>
      <c r="AB225" s="525"/>
      <c r="AC225" s="525"/>
      <c r="AD225" s="521"/>
      <c r="AE225" s="522"/>
      <c r="AF225" s="72">
        <f t="shared" si="6"/>
        <v>0</v>
      </c>
      <c r="AG225" s="72"/>
      <c r="AI225" s="120"/>
      <c r="AJ225" s="120"/>
      <c r="AK225" s="120"/>
      <c r="AL225" s="120"/>
    </row>
    <row r="226" spans="1:38" ht="15" customHeight="1">
      <c r="A226" s="1" t="s">
        <v>477</v>
      </c>
      <c r="B226" s="15">
        <f>+GETPIVOTDATA("Grand Total FTE - New",'FTE Pivot for regular counts'!$A$2,"State","AL","Category2","Four-Year")</f>
        <v>123079.50000000001</v>
      </c>
      <c r="D226" s="15">
        <f>+GETPIVOTDATA("Grand Total FTE - New",'FTE Pivot for regular counts'!$A$2,"State","AL","Category2","Two-Year")</f>
        <v>62666.566666666666</v>
      </c>
      <c r="F226" s="40">
        <f>+GETPIVOTDATA("Grand Total FTE - New",'FTE Pivot for regular counts'!$A$2,"State","AL","Category2","Technical")</f>
        <v>3110.7666666666664</v>
      </c>
      <c r="G226" s="38"/>
      <c r="H226" s="146">
        <f t="shared" ref="H226:H241" si="7">+F226+D226+B226</f>
        <v>188856.83333333334</v>
      </c>
      <c r="I226" s="25"/>
      <c r="U226" s="1" t="s">
        <v>477</v>
      </c>
      <c r="V226" s="15">
        <f>+GETPIVOTDATA("Grand Total FTE - Old",'FTE Pivot for regular counts'!$A$2,"State","AL","Category2","Four-Year")</f>
        <v>120300.45</v>
      </c>
      <c r="W226" s="15">
        <f>+GETPIVOTDATA("Grand Total FTE - Old",'FTE Pivot for regular counts'!$A$2,"State","AL","Category2","Two-Year")</f>
        <v>60590.666666666664</v>
      </c>
      <c r="X226" s="40">
        <f>+GETPIVOTDATA("Grand Total FTE - Old",'FTE Pivot for regular counts'!$A$2,"State","AL","Category2","Technical")</f>
        <v>3070.2666666666664</v>
      </c>
      <c r="Y226" s="113">
        <f t="shared" ref="Y226:Y241" si="8">SUM(V226:X226)</f>
        <v>183961.38333333333</v>
      </c>
      <c r="Z226" s="523">
        <f t="shared" ref="Z226:Z241" si="9">+B226-V226</f>
        <v>2779.0500000000175</v>
      </c>
      <c r="AA226" s="524">
        <f t="shared" ref="AA226:AA241" si="10">+D226-W226</f>
        <v>2075.9000000000015</v>
      </c>
      <c r="AB226" s="525">
        <f t="shared" ref="AB226:AB241" si="11">+F226-X226</f>
        <v>40.5</v>
      </c>
      <c r="AC226" s="525"/>
      <c r="AD226" s="521">
        <f t="shared" ref="AD226:AD241" si="12">(B226-V226)/V226</f>
        <v>2.3100911093848923E-2</v>
      </c>
      <c r="AE226" s="522">
        <f t="shared" ref="AE226:AE241" si="13">(D226-W226)/W226</f>
        <v>3.4261052307286079E-2</v>
      </c>
      <c r="AF226" s="72">
        <f t="shared" si="6"/>
        <v>1.3191036609197898E-2</v>
      </c>
      <c r="AG226" s="72">
        <f t="shared" ref="AG226:AG241" si="14">(H226-Y226)/Y226</f>
        <v>2.6611291518337743E-2</v>
      </c>
      <c r="AH226" s="1" t="s">
        <v>477</v>
      </c>
      <c r="AI226" s="120"/>
      <c r="AJ226" s="120"/>
      <c r="AK226" s="120"/>
      <c r="AL226" s="120"/>
    </row>
    <row r="227" spans="1:38" ht="15" customHeight="1">
      <c r="A227" s="4" t="s">
        <v>478</v>
      </c>
      <c r="B227" s="15">
        <f>+GETPIVOTDATA("Grand Total FTE - New",'FTE Pivot for regular counts'!$A$2,"State","AR","Category2","Four-Year")</f>
        <v>71726.983333333323</v>
      </c>
      <c r="D227" s="15">
        <f>+GETPIVOTDATA("Grand Total FTE - New",'FTE Pivot for regular counts'!$A$2,"State","AR","Category2","Two-Year")</f>
        <v>36740.933333333334</v>
      </c>
      <c r="F227" s="40">
        <f>+GETPIVOTDATA("Grand Total FTE - New",'FTE Pivot for regular counts'!$A$2,"State","AR","Category2","Technical")</f>
        <v>0</v>
      </c>
      <c r="G227" s="38"/>
      <c r="H227" s="146">
        <f t="shared" si="7"/>
        <v>108467.91666666666</v>
      </c>
      <c r="I227" s="25"/>
      <c r="U227" s="4" t="s">
        <v>478</v>
      </c>
      <c r="V227" s="15">
        <f>+GETPIVOTDATA("Grand Total FTE - Old",'FTE Pivot for regular counts'!$A$2,"State","AR","Category2","Four-Year")</f>
        <v>70011.15833333334</v>
      </c>
      <c r="W227" s="15">
        <f>+GETPIVOTDATA("Grand Total FTE - Old",'FTE Pivot for regular counts'!$A$2,"State","AR","Category2","Two-Year")</f>
        <v>34515.266666666663</v>
      </c>
      <c r="X227" s="40">
        <f>+GETPIVOTDATA("Grand Total FTE - Old",'FTE Pivot for regular counts'!$A$2,"State","AR","Category2","Technical")</f>
        <v>0</v>
      </c>
      <c r="Y227" s="113">
        <f t="shared" si="8"/>
        <v>104526.425</v>
      </c>
      <c r="Z227" s="523">
        <f t="shared" si="9"/>
        <v>1715.8249999999825</v>
      </c>
      <c r="AA227" s="524">
        <f t="shared" si="10"/>
        <v>2225.6666666666715</v>
      </c>
      <c r="AB227" s="525">
        <f t="shared" si="11"/>
        <v>0</v>
      </c>
      <c r="AC227" s="525"/>
      <c r="AD227" s="521">
        <f t="shared" si="12"/>
        <v>2.4507879041662035E-2</v>
      </c>
      <c r="AE227" s="522">
        <f t="shared" si="13"/>
        <v>6.4483542548321754E-2</v>
      </c>
      <c r="AF227" s="72">
        <f t="shared" si="6"/>
        <v>0</v>
      </c>
      <c r="AG227" s="72">
        <f t="shared" si="14"/>
        <v>3.7708088329498055E-2</v>
      </c>
      <c r="AH227" s="4" t="s">
        <v>478</v>
      </c>
      <c r="AI227" s="120"/>
      <c r="AJ227" s="120"/>
      <c r="AK227" s="120"/>
      <c r="AL227" s="120"/>
    </row>
    <row r="228" spans="1:38" ht="15" customHeight="1">
      <c r="A228" s="1" t="s">
        <v>515</v>
      </c>
      <c r="B228" s="127">
        <f>+GETPIVOTDATA("Grand Total FTE - New",'FTE Pivot for regular counts'!$A$2,"State","DE","Category2","Four-Year")</f>
        <v>22419.283333333333</v>
      </c>
      <c r="D228" s="15">
        <f>+GETPIVOTDATA("Grand Total FTE - New",'FTE Pivot for regular counts'!$A$2,"State","DE","Category2","Two-Year")</f>
        <v>9642.5666666666657</v>
      </c>
      <c r="F228" s="40">
        <f>+GETPIVOTDATA("Grand Total FTE - New",'FTE Pivot for regular counts'!$A$2,"State","DE","Category2","Technical")</f>
        <v>0</v>
      </c>
      <c r="G228" s="38"/>
      <c r="H228" s="146">
        <f t="shared" si="7"/>
        <v>32061.85</v>
      </c>
      <c r="I228" s="25"/>
      <c r="U228" s="1" t="s">
        <v>515</v>
      </c>
      <c r="V228" s="127">
        <f>+GETPIVOTDATA("Grand Total FTE - Old",'FTE Pivot for regular counts'!$A$2,"State","DE","Category2","Four-Year")</f>
        <v>21776.416666666668</v>
      </c>
      <c r="W228" s="15">
        <f>+GETPIVOTDATA("Grand Total FTE - Old",'FTE Pivot for regular counts'!$A$2,"State","DE","Category2","Two-Year")</f>
        <v>9821.7000000000007</v>
      </c>
      <c r="X228" s="40">
        <f>+GETPIVOTDATA("Grand Total FTE - Old",'FTE Pivot for regular counts'!$A$2,"State","DE","Category2","Technical")</f>
        <v>0</v>
      </c>
      <c r="Y228" s="113">
        <f t="shared" si="8"/>
        <v>31598.116666666669</v>
      </c>
      <c r="Z228" s="523">
        <f t="shared" si="9"/>
        <v>642.86666666666497</v>
      </c>
      <c r="AA228" s="524">
        <f t="shared" si="10"/>
        <v>-179.13333333333503</v>
      </c>
      <c r="AB228" s="525">
        <f t="shared" si="11"/>
        <v>0</v>
      </c>
      <c r="AC228" s="526"/>
      <c r="AD228" s="521">
        <f t="shared" si="12"/>
        <v>2.9521232832153972E-2</v>
      </c>
      <c r="AE228" s="522">
        <f t="shared" si="13"/>
        <v>-1.823852625648666E-2</v>
      </c>
      <c r="AF228" s="72">
        <f t="shared" si="6"/>
        <v>0</v>
      </c>
      <c r="AG228" s="72">
        <f t="shared" si="14"/>
        <v>1.4675980161264778E-2</v>
      </c>
      <c r="AH228" s="1" t="s">
        <v>515</v>
      </c>
      <c r="AI228" s="120"/>
      <c r="AJ228" s="120"/>
      <c r="AK228" s="120"/>
      <c r="AL228" s="120"/>
    </row>
    <row r="229" spans="1:38" ht="15" customHeight="1">
      <c r="A229" s="1" t="s">
        <v>479</v>
      </c>
      <c r="B229" s="15">
        <f>+GETPIVOTDATA("Grand Total FTE - New",'FTE Pivot for regular counts'!$A$2,"State","FL","Category2","Four-Year")</f>
        <v>258634.40833333333</v>
      </c>
      <c r="D229" s="15">
        <f>+GETPIVOTDATA("Grand Total FTE - New",'FTE Pivot for regular counts'!$A$2,"State","FL","Category2","Two-Year")</f>
        <v>322367.25444444444</v>
      </c>
      <c r="F229" s="40">
        <f>+GETPIVOTDATA("Grand Total FTE - New",'FTE Pivot for regular counts'!$A$2,"State","FL","Category2","Technical")</f>
        <v>0</v>
      </c>
      <c r="G229" s="38"/>
      <c r="H229" s="146">
        <f t="shared" si="7"/>
        <v>581001.66277777776</v>
      </c>
      <c r="I229" s="25"/>
      <c r="U229" s="1" t="s">
        <v>479</v>
      </c>
      <c r="V229" s="15">
        <f>+GETPIVOTDATA("Grand Total FTE - Old",'FTE Pivot for regular counts'!$A$2,"State","FL","Category2","Four-Year")</f>
        <v>254492.76249999998</v>
      </c>
      <c r="W229" s="15">
        <f>+GETPIVOTDATA("Grand Total FTE - Old",'FTE Pivot for regular counts'!$A$2,"State","FL","Category2","Two-Year")</f>
        <v>301019.48555555556</v>
      </c>
      <c r="X229" s="40">
        <f>+GETPIVOTDATA("Grand Total FTE - Old",'FTE Pivot for regular counts'!$A$2,"State","FL","Category2","Technical")</f>
        <v>0</v>
      </c>
      <c r="Y229" s="113">
        <f t="shared" si="8"/>
        <v>555512.24805555551</v>
      </c>
      <c r="Z229" s="523">
        <f t="shared" si="9"/>
        <v>4141.645833333343</v>
      </c>
      <c r="AA229" s="524">
        <f t="shared" si="10"/>
        <v>21347.768888888881</v>
      </c>
      <c r="AB229" s="525">
        <f t="shared" si="11"/>
        <v>0</v>
      </c>
      <c r="AC229" s="525"/>
      <c r="AD229" s="521">
        <f t="shared" si="12"/>
        <v>1.6274120303650455E-2</v>
      </c>
      <c r="AE229" s="522">
        <f t="shared" si="13"/>
        <v>7.0918229261769758E-2</v>
      </c>
      <c r="AF229" s="72">
        <f t="shared" si="6"/>
        <v>0</v>
      </c>
      <c r="AG229" s="72">
        <f t="shared" si="14"/>
        <v>4.5884523359191742E-2</v>
      </c>
      <c r="AH229" s="1" t="s">
        <v>479</v>
      </c>
      <c r="AI229" s="120"/>
      <c r="AJ229" s="120"/>
      <c r="AK229" s="120"/>
      <c r="AL229" s="120"/>
    </row>
    <row r="230" spans="1:38" ht="15" customHeight="1">
      <c r="A230" s="1" t="s">
        <v>480</v>
      </c>
      <c r="B230" s="15">
        <f>+GETPIVOTDATA("Grand Total FTE - New",'FTE Pivot for regular counts'!$A$2,"State","GA","Category2","Four-Year")</f>
        <v>188927.9025</v>
      </c>
      <c r="D230" s="15">
        <f>+GETPIVOTDATA("Grand Total FTE - New",'FTE Pivot for regular counts'!$A$2,"State","GA","Category2","Two-Year")</f>
        <v>52458.483333333337</v>
      </c>
      <c r="F230" s="40">
        <f>+GETPIVOTDATA("Grand Total FTE - New",'FTE Pivot for regular counts'!$A$2,"State","GA","Category2","Technical")</f>
        <v>72421.935555555552</v>
      </c>
      <c r="G230" s="38"/>
      <c r="H230" s="146">
        <f t="shared" si="7"/>
        <v>313808.32138888887</v>
      </c>
      <c r="I230" s="25"/>
      <c r="U230" s="1" t="s">
        <v>480</v>
      </c>
      <c r="V230" s="15">
        <f>+GETPIVOTDATA("Grand Total FTE - Old",'FTE Pivot for regular counts'!$A$2,"State","GA","Category2","Four-Year")</f>
        <v>182818.11916666664</v>
      </c>
      <c r="W230" s="15">
        <f>+GETPIVOTDATA("Grand Total FTE - Old",'FTE Pivot for regular counts'!$A$2,"State","GA","Category2","Two-Year")</f>
        <v>49373.416666666664</v>
      </c>
      <c r="X230" s="40">
        <f>+GETPIVOTDATA("Grand Total FTE - Old",'FTE Pivot for regular counts'!$A$2,"State","GA","Category2","Technical")</f>
        <v>69054.593333333323</v>
      </c>
      <c r="Y230" s="113">
        <f t="shared" si="8"/>
        <v>301246.12916666665</v>
      </c>
      <c r="Z230" s="523">
        <f t="shared" si="9"/>
        <v>6109.7833333333547</v>
      </c>
      <c r="AA230" s="524">
        <f t="shared" si="10"/>
        <v>3085.066666666673</v>
      </c>
      <c r="AB230" s="525">
        <f t="shared" si="11"/>
        <v>3367.3422222222289</v>
      </c>
      <c r="AC230" s="525"/>
      <c r="AD230" s="521">
        <f t="shared" si="12"/>
        <v>3.3420009795436925E-2</v>
      </c>
      <c r="AE230" s="522">
        <f t="shared" si="13"/>
        <v>6.2484366587283097E-2</v>
      </c>
      <c r="AF230" s="72">
        <f t="shared" si="6"/>
        <v>4.8763479150007248E-2</v>
      </c>
      <c r="AG230" s="72">
        <f t="shared" si="14"/>
        <v>4.1700758967336285E-2</v>
      </c>
      <c r="AH230" s="1" t="s">
        <v>480</v>
      </c>
      <c r="AI230" s="120"/>
      <c r="AJ230" s="120"/>
      <c r="AK230" s="120"/>
      <c r="AL230" s="120"/>
    </row>
    <row r="231" spans="1:38" ht="15" customHeight="1">
      <c r="A231" s="1" t="s">
        <v>481</v>
      </c>
      <c r="B231" s="15">
        <f>+GETPIVOTDATA("Grand Total FTE - New",'FTE Pivot for regular counts'!$A$2,"State","KY","Category2","Four-Year")</f>
        <v>97522.916666666672</v>
      </c>
      <c r="D231" s="15">
        <f>+GETPIVOTDATA("Grand Total FTE - New",'FTE Pivot for regular counts'!$A$2,"State","KY","Category2","Two-Year")</f>
        <v>44844.466666666667</v>
      </c>
      <c r="F231" s="40">
        <f>+GETPIVOTDATA("Grand Total FTE - New",'FTE Pivot for regular counts'!$A$2,"State","KY","Category2","Technical")</f>
        <v>2928.8666666666668</v>
      </c>
      <c r="G231" s="38"/>
      <c r="H231" s="146">
        <f t="shared" si="7"/>
        <v>145296.25</v>
      </c>
      <c r="I231" s="25"/>
      <c r="U231" s="1" t="s">
        <v>481</v>
      </c>
      <c r="V231" s="15">
        <f>+GETPIVOTDATA("Grand Total FTE - Old",'FTE Pivot for regular counts'!$A$2,"State","KY","Category2","Four-Year")</f>
        <v>96765.475000000006</v>
      </c>
      <c r="W231" s="15">
        <f>+GETPIVOTDATA("Grand Total FTE - Old",'FTE Pivot for regular counts'!$A$2,"State","KY","Category2","Two-Year")</f>
        <v>43422.633333333331</v>
      </c>
      <c r="X231" s="40">
        <f>+GETPIVOTDATA("Grand Total FTE - Old",'FTE Pivot for regular counts'!$A$2,"State","KY","Category2","Technical")</f>
        <v>2800.333333333333</v>
      </c>
      <c r="Y231" s="113">
        <f t="shared" si="8"/>
        <v>142988.44166666668</v>
      </c>
      <c r="Z231" s="523">
        <f t="shared" si="9"/>
        <v>757.4416666666657</v>
      </c>
      <c r="AA231" s="524">
        <f t="shared" si="10"/>
        <v>1421.8333333333358</v>
      </c>
      <c r="AB231" s="525">
        <f t="shared" si="11"/>
        <v>128.53333333333376</v>
      </c>
      <c r="AC231" s="525"/>
      <c r="AD231" s="521">
        <f t="shared" si="12"/>
        <v>7.8276024239705908E-3</v>
      </c>
      <c r="AE231" s="522">
        <f t="shared" si="13"/>
        <v>3.2744060509150817E-2</v>
      </c>
      <c r="AF231" s="72">
        <f t="shared" si="6"/>
        <v>4.58992977026546E-2</v>
      </c>
      <c r="AG231" s="72">
        <f t="shared" si="14"/>
        <v>1.6139824355266848E-2</v>
      </c>
      <c r="AH231" s="1" t="s">
        <v>481</v>
      </c>
      <c r="AI231" s="120"/>
      <c r="AJ231" s="120"/>
      <c r="AK231" s="120"/>
      <c r="AL231" s="120"/>
    </row>
    <row r="232" spans="1:38" ht="15" customHeight="1">
      <c r="A232" s="1" t="s">
        <v>482</v>
      </c>
      <c r="B232" s="15">
        <f>+GETPIVOTDATA("Grand Total FTE - New",'FTE Pivot for regular counts'!$A$2,"State","LA","Category2","Four-Year")</f>
        <v>119134.09027777778</v>
      </c>
      <c r="D232" s="15">
        <f>+GETPIVOTDATA("Grand Total FTE - New",'FTE Pivot for regular counts'!$A$2,"State","LA","Category2","Two-Year")</f>
        <v>28922.400000000001</v>
      </c>
      <c r="F232" s="40">
        <f>+GETPIVOTDATA("Grand Total FTE - New",'FTE Pivot for regular counts'!$A$2,"State","LA","Category2","Technical")</f>
        <v>16587.485000000001</v>
      </c>
      <c r="G232" s="38"/>
      <c r="H232" s="146">
        <f t="shared" si="7"/>
        <v>164643.97527777779</v>
      </c>
      <c r="I232" s="25"/>
      <c r="U232" s="1" t="s">
        <v>482</v>
      </c>
      <c r="V232" s="15">
        <f>+GETPIVOTDATA("Grand Total FTE - Old",'FTE Pivot for regular counts'!$A$2,"State","LA","Category2","Four-Year")</f>
        <v>120362.00694444445</v>
      </c>
      <c r="W232" s="15">
        <f>+GETPIVOTDATA("Grand Total FTE - Old",'FTE Pivot for regular counts'!$A$2,"State","LA","Category2","Two-Year")</f>
        <v>26948.299999999996</v>
      </c>
      <c r="X232" s="40">
        <f>+GETPIVOTDATA("Grand Total FTE - Old",'FTE Pivot for regular counts'!$A$2,"State","LA","Category2","Technical")</f>
        <v>15359.887777777778</v>
      </c>
      <c r="Y232" s="113">
        <f t="shared" si="8"/>
        <v>162670.19472222222</v>
      </c>
      <c r="Z232" s="523">
        <f t="shared" si="9"/>
        <v>-1227.9166666666715</v>
      </c>
      <c r="AA232" s="524">
        <f t="shared" si="10"/>
        <v>1974.1000000000058</v>
      </c>
      <c r="AB232" s="525">
        <f t="shared" si="11"/>
        <v>1227.5972222222226</v>
      </c>
      <c r="AC232" s="525"/>
      <c r="AD232" s="521">
        <f t="shared" si="12"/>
        <v>-1.0201862679420439E-2</v>
      </c>
      <c r="AE232" s="522">
        <f t="shared" si="13"/>
        <v>7.3255084736328677E-2</v>
      </c>
      <c r="AF232" s="72">
        <f t="shared" si="6"/>
        <v>7.9922278077986561E-2</v>
      </c>
      <c r="AG232" s="72">
        <f t="shared" si="14"/>
        <v>1.213363369316685E-2</v>
      </c>
      <c r="AH232" s="1" t="s">
        <v>482</v>
      </c>
      <c r="AI232" s="120"/>
      <c r="AJ232" s="120"/>
      <c r="AK232" s="120"/>
      <c r="AL232" s="120"/>
    </row>
    <row r="233" spans="1:38" ht="15" customHeight="1">
      <c r="A233" s="1" t="s">
        <v>483</v>
      </c>
      <c r="B233" s="15">
        <f>+GETPIVOTDATA("Grand Total FTE - New",'FTE Pivot for regular counts'!$A$2,"State","MD","Category2","Four-Year")</f>
        <v>96779.143333333326</v>
      </c>
      <c r="D233" s="15">
        <f>+GETPIVOTDATA("Grand Total FTE - New",'FTE Pivot for regular counts'!$A$2,"State","MD","Category2","Two-Year")</f>
        <v>82283.233333333337</v>
      </c>
      <c r="F233" s="40">
        <f>+GETPIVOTDATA("Grand Total FTE - New",'FTE Pivot for regular counts'!$A$2,"State","MD","Category2","Technical")</f>
        <v>0</v>
      </c>
      <c r="G233" s="38"/>
      <c r="H233" s="146">
        <f t="shared" si="7"/>
        <v>179062.37666666665</v>
      </c>
      <c r="I233" s="25"/>
      <c r="U233" s="1" t="s">
        <v>483</v>
      </c>
      <c r="V233" s="15">
        <f>+GETPIVOTDATA("Grand Total FTE - Old",'FTE Pivot for regular counts'!$A$2,"State","MD","Category2","Four-Year")</f>
        <v>92916.791666666672</v>
      </c>
      <c r="W233" s="15">
        <f>+GETPIVOTDATA("Grand Total FTE - Old",'FTE Pivot for regular counts'!$A$2,"State","MD","Category2","Two-Year")</f>
        <v>73103</v>
      </c>
      <c r="X233" s="40">
        <f>+GETPIVOTDATA("Grand Total FTE - Old",'FTE Pivot for regular counts'!$A$2,"State","MD","Category2","Technical")</f>
        <v>0</v>
      </c>
      <c r="Y233" s="113">
        <f t="shared" si="8"/>
        <v>166019.79166666669</v>
      </c>
      <c r="Z233" s="523">
        <f t="shared" si="9"/>
        <v>3862.3516666666546</v>
      </c>
      <c r="AA233" s="524">
        <f t="shared" si="10"/>
        <v>9180.2333333333372</v>
      </c>
      <c r="AB233" s="525">
        <f t="shared" si="11"/>
        <v>0</v>
      </c>
      <c r="AC233" s="525"/>
      <c r="AD233" s="521">
        <f t="shared" si="12"/>
        <v>4.1567854393020867E-2</v>
      </c>
      <c r="AE233" s="522">
        <f t="shared" si="13"/>
        <v>0.12557943358457707</v>
      </c>
      <c r="AF233" s="72">
        <f t="shared" si="6"/>
        <v>0</v>
      </c>
      <c r="AG233" s="72">
        <f t="shared" si="14"/>
        <v>7.8560422640372718E-2</v>
      </c>
      <c r="AH233" s="1" t="s">
        <v>483</v>
      </c>
      <c r="AI233" s="120"/>
      <c r="AJ233" s="120"/>
      <c r="AK233" s="120"/>
      <c r="AL233" s="120"/>
    </row>
    <row r="234" spans="1:38" ht="12" customHeight="1">
      <c r="A234" s="1" t="s">
        <v>484</v>
      </c>
      <c r="B234" s="15">
        <f>+GETPIVOTDATA("Grand Total FTE - New",'FTE Pivot for regular counts'!$A$2,"State","MS","Category2","Four-Year")</f>
        <v>59980.291666666664</v>
      </c>
      <c r="D234" s="15">
        <f>+GETPIVOTDATA("Grand Total FTE - New",'FTE Pivot for regular counts'!$A$2,"State","MS","Category2","Two-Year")</f>
        <v>58591.666666666672</v>
      </c>
      <c r="F234" s="40">
        <f>+GETPIVOTDATA("Grand Total FTE - New",'FTE Pivot for regular counts'!$A$2,"State","MS","Category2","Technical")</f>
        <v>0</v>
      </c>
      <c r="G234" s="38"/>
      <c r="H234" s="146">
        <f t="shared" si="7"/>
        <v>118571.95833333334</v>
      </c>
      <c r="I234" s="25"/>
      <c r="U234" s="1" t="s">
        <v>484</v>
      </c>
      <c r="V234" s="15">
        <f>+GETPIVOTDATA("Grand Total FTE - Old",'FTE Pivot for regular counts'!$A$2,"State","MS","Category2","Four-Year")</f>
        <v>60362.591666666674</v>
      </c>
      <c r="W234" s="15">
        <f>+GETPIVOTDATA("Grand Total FTE - Old",'FTE Pivot for regular counts'!$A$2,"State","MS","Category2","Two-Year")</f>
        <v>56582.966666666667</v>
      </c>
      <c r="X234" s="40">
        <f>+GETPIVOTDATA("Grand Total FTE - Old",'FTE Pivot for regular counts'!$A$2,"State","MS","Category2","Technical")</f>
        <v>0</v>
      </c>
      <c r="Y234" s="113">
        <f t="shared" si="8"/>
        <v>116945.55833333335</v>
      </c>
      <c r="Z234" s="523">
        <f t="shared" si="9"/>
        <v>-382.30000000001019</v>
      </c>
      <c r="AA234" s="524">
        <f t="shared" si="10"/>
        <v>2008.7000000000044</v>
      </c>
      <c r="AB234" s="525">
        <f t="shared" si="11"/>
        <v>0</v>
      </c>
      <c r="AC234" s="525"/>
      <c r="AD234" s="521">
        <f t="shared" si="12"/>
        <v>-6.3333927428288871E-3</v>
      </c>
      <c r="AE234" s="522">
        <f t="shared" si="13"/>
        <v>3.5500082769314045E-2</v>
      </c>
      <c r="AF234" s="72">
        <f t="shared" si="6"/>
        <v>0</v>
      </c>
      <c r="AG234" s="72">
        <f t="shared" si="14"/>
        <v>1.3907325965850013E-2</v>
      </c>
      <c r="AH234" s="1" t="s">
        <v>484</v>
      </c>
      <c r="AI234" s="120"/>
      <c r="AJ234" s="120"/>
      <c r="AK234" s="120"/>
      <c r="AL234" s="120"/>
    </row>
    <row r="235" spans="1:38" ht="15" customHeight="1">
      <c r="A235" s="1" t="s">
        <v>485</v>
      </c>
      <c r="B235" s="15">
        <f>+GETPIVOTDATA("Grand Total FTE - New",'FTE Pivot for regular counts'!$A$2,"State","NC","Category2","Four-Year")</f>
        <v>187703.58333333331</v>
      </c>
      <c r="D235" s="15">
        <f>+GETPIVOTDATA("Grand Total FTE - New",'FTE Pivot for regular counts'!$A$2,"State","NC","Category2","Two-Year")</f>
        <v>231737</v>
      </c>
      <c r="F235" s="40">
        <f>+GETPIVOTDATA("Grand Total FTE - New",'FTE Pivot for regular counts'!$A$2,"State","NC","Category2","Technical")</f>
        <v>0</v>
      </c>
      <c r="G235" s="38"/>
      <c r="H235" s="146">
        <f t="shared" si="7"/>
        <v>419440.58333333331</v>
      </c>
      <c r="I235" s="25"/>
      <c r="U235" s="1" t="s">
        <v>485</v>
      </c>
      <c r="V235" s="15">
        <f>+GETPIVOTDATA("Grand Total FTE - Old",'FTE Pivot for regular counts'!$A$2,"State","NC","Category2","Four-Year")</f>
        <v>182520.82500000001</v>
      </c>
      <c r="W235" s="15">
        <f>+GETPIVOTDATA("Grand Total FTE - Old",'FTE Pivot for regular counts'!$A$2,"State","NC","Category2","Two-Year")</f>
        <v>221537.88999999998</v>
      </c>
      <c r="X235" s="40">
        <f>+GETPIVOTDATA("Grand Total FTE - Old",'FTE Pivot for regular counts'!$A$2,"State","NC","Category2","Technical")</f>
        <v>0</v>
      </c>
      <c r="Y235" s="113">
        <f t="shared" si="8"/>
        <v>404058.71499999997</v>
      </c>
      <c r="Z235" s="523">
        <f t="shared" si="9"/>
        <v>5182.7583333333023</v>
      </c>
      <c r="AA235" s="524">
        <f t="shared" si="10"/>
        <v>10199.110000000015</v>
      </c>
      <c r="AB235" s="525">
        <f t="shared" si="11"/>
        <v>0</v>
      </c>
      <c r="AC235" s="525"/>
      <c r="AD235" s="521">
        <f t="shared" si="12"/>
        <v>2.839543560759876E-2</v>
      </c>
      <c r="AE235" s="522">
        <f t="shared" si="13"/>
        <v>4.6037768076603133E-2</v>
      </c>
      <c r="AF235" s="72">
        <f t="shared" si="6"/>
        <v>0</v>
      </c>
      <c r="AG235" s="72">
        <f t="shared" si="14"/>
        <v>3.806839887943847E-2</v>
      </c>
      <c r="AH235" s="1" t="s">
        <v>485</v>
      </c>
      <c r="AI235" s="120"/>
      <c r="AJ235" s="120"/>
      <c r="AK235" s="120"/>
      <c r="AL235" s="120"/>
    </row>
    <row r="236" spans="1:38" ht="15" customHeight="1">
      <c r="A236" s="1" t="s">
        <v>486</v>
      </c>
      <c r="B236" s="15">
        <f>+GETPIVOTDATA("Grand Total FTE - New",'FTE Pivot for regular counts'!$A$2,"State","OK","Category2","Four-Year")</f>
        <v>85938.900000000009</v>
      </c>
      <c r="D236" s="15">
        <f>+GETPIVOTDATA("Grand Total FTE - New",'FTE Pivot for regular counts'!$A$2,"State","OK","Category2","Two-Year")</f>
        <v>46228.799999999996</v>
      </c>
      <c r="F236" s="40">
        <f>+GETPIVOTDATA("Grand Total FTE - New",'FTE Pivot for regular counts'!$A$2,"State","OK","Category2","Technical")</f>
        <v>21113.190722222222</v>
      </c>
      <c r="G236" s="38"/>
      <c r="H236" s="146">
        <f t="shared" si="7"/>
        <v>153280.89072222222</v>
      </c>
      <c r="I236" s="25"/>
      <c r="U236" s="1" t="s">
        <v>486</v>
      </c>
      <c r="V236" s="15">
        <f>+GETPIVOTDATA("Grand Total FTE - Old",'FTE Pivot for regular counts'!$A$2,"State","OK","Category2","Four-Year")</f>
        <v>87045.991666666669</v>
      </c>
      <c r="W236" s="15">
        <f>+GETPIVOTDATA("Grand Total FTE - Old",'FTE Pivot for regular counts'!$A$2,"State","OK","Category2","Two-Year")</f>
        <v>45215.566666666666</v>
      </c>
      <c r="X236" s="68">
        <f>+GETPIVOTDATA("Grand Total FTE - Old",'FTE Pivot for regular counts'!$A$2,"State","OK","Category2","Technical")</f>
        <v>21600.48061111111</v>
      </c>
      <c r="Y236" s="113">
        <f t="shared" si="8"/>
        <v>153862.03894444444</v>
      </c>
      <c r="Z236" s="523">
        <f t="shared" si="9"/>
        <v>-1107.0916666666599</v>
      </c>
      <c r="AA236" s="524">
        <f t="shared" si="10"/>
        <v>1013.2333333333299</v>
      </c>
      <c r="AB236" s="525">
        <f t="shared" si="11"/>
        <v>-487.28988888888853</v>
      </c>
      <c r="AC236" s="525"/>
      <c r="AD236" s="521">
        <f t="shared" si="12"/>
        <v>-1.2718468081863542E-2</v>
      </c>
      <c r="AE236" s="522">
        <f t="shared" si="13"/>
        <v>2.240894913035105E-2</v>
      </c>
      <c r="AF236" s="72">
        <f t="shared" si="6"/>
        <v>-2.2559215124048241E-2</v>
      </c>
      <c r="AG236" s="72">
        <f t="shared" si="14"/>
        <v>-3.7770734497549661E-3</v>
      </c>
      <c r="AH236" s="1" t="s">
        <v>486</v>
      </c>
      <c r="AI236" s="120"/>
      <c r="AJ236" s="120"/>
      <c r="AK236" s="120"/>
      <c r="AL236" s="120"/>
    </row>
    <row r="237" spans="1:38" ht="15" customHeight="1">
      <c r="A237" s="1" t="s">
        <v>487</v>
      </c>
      <c r="B237" s="15">
        <f>+GETPIVOTDATA("Grand Total FTE - New",'FTE Pivot for regular counts'!$A$2,"State","SC","Category2","Four-Year")</f>
        <v>85342.854166666672</v>
      </c>
      <c r="D237" s="15">
        <f>+GETPIVOTDATA("Grand Total FTE - New",'FTE Pivot for regular counts'!$A$2,"State","SC","Category2","Two-Year")</f>
        <v>68756.510666666669</v>
      </c>
      <c r="F237" s="40">
        <f>+GETPIVOTDATA("Grand Total FTE - New",'FTE Pivot for regular counts'!$A$2,"State","SC","Category2","Technical")</f>
        <v>0</v>
      </c>
      <c r="G237" s="38"/>
      <c r="H237" s="146">
        <f t="shared" si="7"/>
        <v>154099.36483333335</v>
      </c>
      <c r="I237" s="25"/>
      <c r="U237" s="1" t="s">
        <v>487</v>
      </c>
      <c r="V237" s="15">
        <f>+GETPIVOTDATA("Grand Total FTE - Old",'FTE Pivot for regular counts'!$A$2,"State","SC","Category2","Four-Year")</f>
        <v>83279.81666666668</v>
      </c>
      <c r="W237" s="15">
        <f>+GETPIVOTDATA("Grand Total FTE - Old",'FTE Pivot for regular counts'!$A$2,"State","SC","Category2","Two-Year")</f>
        <v>65338.411666666667</v>
      </c>
      <c r="X237" s="40">
        <f>+GETPIVOTDATA("Grand Total FTE - Old",'FTE Pivot for regular counts'!$A$2,"State","SC","Category2","Technical")</f>
        <v>0</v>
      </c>
      <c r="Y237" s="113">
        <f t="shared" si="8"/>
        <v>148618.22833333333</v>
      </c>
      <c r="Z237" s="523">
        <f t="shared" si="9"/>
        <v>2063.0374999999913</v>
      </c>
      <c r="AA237" s="524">
        <f t="shared" si="10"/>
        <v>3418.099000000002</v>
      </c>
      <c r="AB237" s="525">
        <f t="shared" si="11"/>
        <v>0</v>
      </c>
      <c r="AC237" s="525"/>
      <c r="AD237" s="521">
        <f t="shared" si="12"/>
        <v>2.477235880882692E-2</v>
      </c>
      <c r="AE237" s="522">
        <f t="shared" si="13"/>
        <v>5.2313775508317027E-2</v>
      </c>
      <c r="AF237" s="72">
        <f t="shared" si="6"/>
        <v>0</v>
      </c>
      <c r="AG237" s="72">
        <f t="shared" si="14"/>
        <v>3.6880647558968832E-2</v>
      </c>
      <c r="AH237" s="1" t="s">
        <v>487</v>
      </c>
      <c r="AI237" s="120"/>
      <c r="AJ237" s="120"/>
      <c r="AK237" s="120"/>
      <c r="AL237" s="120"/>
    </row>
    <row r="238" spans="1:38" ht="15" customHeight="1">
      <c r="A238" s="1" t="s">
        <v>488</v>
      </c>
      <c r="B238" s="15">
        <f>+GETPIVOTDATA("Grand Total FTE - New",'FTE Pivot for regular counts'!$A$2,"State","TN","Category2","Four-Year")</f>
        <v>113530.85833333332</v>
      </c>
      <c r="D238" s="15">
        <f>+GETPIVOTDATA("Grand Total FTE - New",'FTE Pivot for regular counts'!$A$2,"State","TN","Category2","Two-Year")</f>
        <v>53531.866666666669</v>
      </c>
      <c r="F238" s="40">
        <f>+GETPIVOTDATA("Grand Total FTE - New",'FTE Pivot for regular counts'!$A$2,"State","TN","Category2","Technical")</f>
        <v>11037.255555555552</v>
      </c>
      <c r="G238" s="38"/>
      <c r="H238" s="146">
        <f t="shared" si="7"/>
        <v>178099.98055555555</v>
      </c>
      <c r="I238" s="25"/>
      <c r="U238" s="1" t="s">
        <v>488</v>
      </c>
      <c r="V238" s="15">
        <f>+GETPIVOTDATA("Grand Total FTE - Old",'FTE Pivot for regular counts'!$A$2,"State","TN","Category2","Four-Year")</f>
        <v>111365.75833333333</v>
      </c>
      <c r="W238" s="15">
        <f>+GETPIVOTDATA("Grand Total FTE - Old",'FTE Pivot for regular counts'!$A$2,"State","TN","Category2","Two-Year")</f>
        <v>52056.799999999996</v>
      </c>
      <c r="X238" s="40">
        <f>+GETPIVOTDATA("Grand Total FTE - Old",'FTE Pivot for regular counts'!$A$2,"State","TN","Category2","Technical")</f>
        <v>10283.096666666668</v>
      </c>
      <c r="Y238" s="113">
        <f t="shared" si="8"/>
        <v>173705.655</v>
      </c>
      <c r="Z238" s="523">
        <f t="shared" si="9"/>
        <v>2165.0999999999913</v>
      </c>
      <c r="AA238" s="524">
        <f t="shared" si="10"/>
        <v>1475.066666666673</v>
      </c>
      <c r="AB238" s="525">
        <f t="shared" si="11"/>
        <v>754.15888888888367</v>
      </c>
      <c r="AC238" s="525"/>
      <c r="AD238" s="521">
        <f t="shared" si="12"/>
        <v>1.9441343842148889E-2</v>
      </c>
      <c r="AE238" s="522">
        <f t="shared" si="13"/>
        <v>2.8335715346826412E-2</v>
      </c>
      <c r="AF238" s="72">
        <f t="shared" si="6"/>
        <v>7.33396673526895E-2</v>
      </c>
      <c r="AG238" s="72">
        <f t="shared" si="14"/>
        <v>2.5297538848436177E-2</v>
      </c>
      <c r="AH238" s="1" t="s">
        <v>488</v>
      </c>
      <c r="AI238" s="120"/>
      <c r="AJ238" s="120"/>
      <c r="AK238" s="120"/>
      <c r="AL238" s="120"/>
    </row>
    <row r="239" spans="1:38" ht="15" customHeight="1">
      <c r="A239" s="1" t="s">
        <v>489</v>
      </c>
      <c r="B239" s="15">
        <f>+GETPIVOTDATA("Grand Total FTE - New",'FTE Pivot for regular counts'!$A$2,"State","TX","Category2","Four-Year")</f>
        <v>422673.5</v>
      </c>
      <c r="D239" s="15">
        <f>+GETPIVOTDATA("Grand Total FTE - New",'FTE Pivot for regular counts'!$A$2,"State","TX","Category2","Two-Year")</f>
        <v>418961.9788888889</v>
      </c>
      <c r="F239" s="40">
        <f>+GETPIVOTDATA("Grand Total FTE - New",'FTE Pivot for regular counts'!$A$2,"State","TX","Category2","Technical")</f>
        <v>0</v>
      </c>
      <c r="G239" s="38"/>
      <c r="H239" s="146">
        <f t="shared" si="7"/>
        <v>841635.47888888884</v>
      </c>
      <c r="I239" s="25"/>
      <c r="U239" s="1" t="s">
        <v>489</v>
      </c>
      <c r="V239" s="15">
        <f>+GETPIVOTDATA("Grand Total FTE - Old",'FTE Pivot for regular counts'!$A$2,"State","TX","Category2","Four-Year")</f>
        <v>415179.59166666656</v>
      </c>
      <c r="W239" s="15">
        <f>+GETPIVOTDATA("Grand Total FTE - Old",'FTE Pivot for regular counts'!$A$2,"State","TX","Category2","Two-Year")</f>
        <v>403436.89111111109</v>
      </c>
      <c r="X239" s="40">
        <f>+GETPIVOTDATA("Grand Total FTE - Old",'FTE Pivot for regular counts'!$A$2,"State","TX","Category2","Technical")</f>
        <v>0</v>
      </c>
      <c r="Y239" s="113">
        <f t="shared" si="8"/>
        <v>818616.48277777759</v>
      </c>
      <c r="Z239" s="523">
        <f t="shared" si="9"/>
        <v>7493.908333333442</v>
      </c>
      <c r="AA239" s="524">
        <f t="shared" si="10"/>
        <v>15525.087777777808</v>
      </c>
      <c r="AB239" s="525">
        <f t="shared" si="11"/>
        <v>0</v>
      </c>
      <c r="AC239" s="525"/>
      <c r="AD239" s="521">
        <f t="shared" si="12"/>
        <v>1.8049799372966396E-2</v>
      </c>
      <c r="AE239" s="522">
        <f t="shared" si="13"/>
        <v>3.8482072710356134E-2</v>
      </c>
      <c r="AF239" s="72">
        <f t="shared" si="6"/>
        <v>0</v>
      </c>
      <c r="AG239" s="72">
        <f t="shared" si="14"/>
        <v>2.8119389965129749E-2</v>
      </c>
      <c r="AH239" s="1" t="s">
        <v>489</v>
      </c>
      <c r="AI239" s="120"/>
      <c r="AJ239" s="120"/>
      <c r="AK239" s="120"/>
      <c r="AL239" s="120"/>
    </row>
    <row r="240" spans="1:38" ht="15" customHeight="1">
      <c r="A240" s="1" t="s">
        <v>490</v>
      </c>
      <c r="B240" s="15">
        <f>+GETPIVOTDATA("Grand Total FTE - New",'FTE Pivot for regular counts'!$A$2,"State","VA","Category2","Four-Year")</f>
        <v>180201.4083333333</v>
      </c>
      <c r="D240" s="15">
        <f>+GETPIVOTDATA("Grand Total FTE - New",'FTE Pivot for regular counts'!$A$2,"State","VA","Category2","Two-Year")</f>
        <v>105320.40000000001</v>
      </c>
      <c r="F240" s="40">
        <f>+GETPIVOTDATA("Grand Total FTE - New",'FTE Pivot for regular counts'!$A$2,"State","VA","Category2","Technical")</f>
        <v>0</v>
      </c>
      <c r="G240" s="38"/>
      <c r="H240" s="146">
        <f t="shared" si="7"/>
        <v>285521.80833333329</v>
      </c>
      <c r="I240" s="25"/>
      <c r="U240" s="1" t="s">
        <v>490</v>
      </c>
      <c r="V240" s="15">
        <f>+GETPIVOTDATA("Grand Total FTE - Old",'FTE Pivot for regular counts'!$A$2,"State","VA","Category2","Four-Year")</f>
        <v>176097.55416666667</v>
      </c>
      <c r="W240" s="15">
        <f>+GETPIVOTDATA("Grand Total FTE - Old",'FTE Pivot for regular counts'!$A$2,"State","VA","Category2","Two-Year")</f>
        <v>100293.57333333333</v>
      </c>
      <c r="X240" s="40">
        <f>+GETPIVOTDATA("Grand Total FTE - Old",'FTE Pivot for regular counts'!$A$2,"State","VA","Category2","Technical")</f>
        <v>0</v>
      </c>
      <c r="Y240" s="113">
        <f t="shared" si="8"/>
        <v>276391.1275</v>
      </c>
      <c r="Z240" s="523">
        <f t="shared" si="9"/>
        <v>4103.8541666666279</v>
      </c>
      <c r="AA240" s="524">
        <f t="shared" si="10"/>
        <v>5026.826666666675</v>
      </c>
      <c r="AB240" s="525">
        <f t="shared" si="11"/>
        <v>0</v>
      </c>
      <c r="AC240" s="525"/>
      <c r="AD240" s="521">
        <f t="shared" si="12"/>
        <v>2.3304435919550337E-2</v>
      </c>
      <c r="AE240" s="522">
        <f t="shared" si="13"/>
        <v>5.0121124411029144E-2</v>
      </c>
      <c r="AF240" s="72">
        <f t="shared" si="6"/>
        <v>0</v>
      </c>
      <c r="AG240" s="72">
        <f t="shared" si="14"/>
        <v>3.3035361575900403E-2</v>
      </c>
      <c r="AH240" s="1" t="s">
        <v>490</v>
      </c>
    </row>
    <row r="241" spans="1:34" ht="15" customHeight="1">
      <c r="A241" s="3" t="s">
        <v>491</v>
      </c>
      <c r="B241" s="6">
        <f>+GETPIVOTDATA("Grand Total FTE - New",'FTE Pivot for regular counts'!$A$2,"State","WV","Category2","Four-Year")</f>
        <v>55816.903333333335</v>
      </c>
      <c r="C241" s="3"/>
      <c r="D241" s="6">
        <f>+GETPIVOTDATA("Grand Total FTE - New",'FTE Pivot for regular counts'!$A$2,"State","WV","Category2","Two-Year")</f>
        <v>15872.083333333334</v>
      </c>
      <c r="E241" s="3"/>
      <c r="F241" s="41">
        <f>+GETPIVOTDATA("Grand Total FTE - New",'FTE Pivot for regular counts'!$A$2,"State","WV","Category2","Technical")</f>
        <v>0</v>
      </c>
      <c r="G241" s="39"/>
      <c r="H241" s="146">
        <f t="shared" si="7"/>
        <v>71688.986666666664</v>
      </c>
      <c r="I241" s="25"/>
      <c r="U241" s="3" t="s">
        <v>491</v>
      </c>
      <c r="V241" s="6">
        <f>+GETPIVOTDATA("Grand Total FTE - Old",'FTE Pivot for regular counts'!$A$2,"State","WV","Category2","Four-Year")</f>
        <v>55328.857499999998</v>
      </c>
      <c r="W241" s="6">
        <f>+GETPIVOTDATA("Grand Total FTE - Old",'FTE Pivot for regular counts'!$A$2,"State","WV","Category2","Two-Year")</f>
        <v>15487.333333333332</v>
      </c>
      <c r="X241" s="41">
        <f>+GETPIVOTDATA("Grand Total FTE - Old",'FTE Pivot for regular counts'!$A$2,"State","WV","Category2","Technical")</f>
        <v>0</v>
      </c>
      <c r="Y241" s="114">
        <f t="shared" si="8"/>
        <v>70816.190833333327</v>
      </c>
      <c r="Z241" s="527">
        <f t="shared" si="9"/>
        <v>488.04583333333721</v>
      </c>
      <c r="AA241" s="528">
        <f t="shared" si="10"/>
        <v>384.75000000000182</v>
      </c>
      <c r="AB241" s="528">
        <f t="shared" si="11"/>
        <v>0</v>
      </c>
      <c r="AC241" s="528"/>
      <c r="AD241" s="110">
        <f t="shared" si="12"/>
        <v>8.8208189249766675E-3</v>
      </c>
      <c r="AE241" s="111">
        <f t="shared" si="13"/>
        <v>2.4842882355473408E-2</v>
      </c>
      <c r="AF241" s="111">
        <f t="shared" si="6"/>
        <v>0</v>
      </c>
      <c r="AG241" s="111">
        <f t="shared" si="14"/>
        <v>1.2324806277528704E-2</v>
      </c>
      <c r="AH241" s="3" t="s">
        <v>491</v>
      </c>
    </row>
    <row r="242" spans="1:34" s="25" customFormat="1" ht="20.25" customHeight="1">
      <c r="A242" s="77"/>
      <c r="B242" s="16"/>
      <c r="C242" s="16"/>
      <c r="D242" s="16"/>
      <c r="E242" s="16"/>
      <c r="F242" s="16"/>
      <c r="G242" s="16"/>
      <c r="H242" s="133"/>
      <c r="I242" s="15"/>
      <c r="J242" s="127"/>
      <c r="K242" s="127"/>
      <c r="L242" s="127"/>
      <c r="M242" s="127"/>
      <c r="Z242" s="1"/>
      <c r="AA242" s="1"/>
    </row>
    <row r="243" spans="1:34" ht="71.25" customHeight="1">
      <c r="A243" s="674" t="s">
        <v>105</v>
      </c>
      <c r="B243" s="675"/>
      <c r="C243" s="675"/>
      <c r="D243" s="675"/>
      <c r="E243" s="675"/>
      <c r="F243" s="675"/>
      <c r="G243" s="675"/>
      <c r="H243" s="675"/>
      <c r="I243" s="25"/>
      <c r="Q243" s="126"/>
      <c r="S243" s="119"/>
    </row>
    <row r="244" spans="1:34">
      <c r="H244" s="424" t="s">
        <v>94</v>
      </c>
      <c r="Q244" s="43"/>
    </row>
    <row r="259" spans="14:20">
      <c r="N259" s="25"/>
      <c r="O259" s="25"/>
      <c r="P259" s="25"/>
      <c r="Q259" s="25"/>
      <c r="R259" s="25"/>
      <c r="S259" s="25"/>
      <c r="T259" s="25"/>
    </row>
    <row r="260" spans="14:20">
      <c r="N260" s="25"/>
      <c r="O260" s="25"/>
      <c r="P260" s="25"/>
      <c r="Q260" s="25"/>
      <c r="R260" s="25"/>
      <c r="S260" s="25"/>
      <c r="T260" s="25"/>
    </row>
    <row r="261" spans="14:20">
      <c r="N261" s="25"/>
      <c r="O261" s="25"/>
      <c r="P261" s="25"/>
      <c r="Q261" s="25"/>
      <c r="R261" s="25"/>
      <c r="S261" s="25"/>
      <c r="T261" s="25"/>
    </row>
    <row r="262" spans="14:20">
      <c r="N262" s="25"/>
      <c r="O262" s="25"/>
      <c r="P262" s="25"/>
      <c r="Q262" s="25"/>
      <c r="R262" s="25"/>
      <c r="S262" s="25"/>
      <c r="T262" s="25"/>
    </row>
    <row r="263" spans="14:20">
      <c r="N263" s="25"/>
      <c r="O263" s="25"/>
      <c r="P263" s="25"/>
      <c r="Q263" s="25"/>
      <c r="R263" s="25"/>
      <c r="S263" s="25"/>
      <c r="T263" s="25"/>
    </row>
    <row r="264" spans="14:20">
      <c r="N264" s="25"/>
      <c r="O264" s="25"/>
      <c r="P264" s="25"/>
      <c r="Q264" s="25"/>
      <c r="R264" s="25"/>
      <c r="S264" s="25"/>
      <c r="T264" s="25"/>
    </row>
    <row r="265" spans="14:20">
      <c r="N265" s="25"/>
      <c r="O265" s="25"/>
      <c r="P265" s="25"/>
      <c r="Q265" s="25"/>
      <c r="R265" s="25"/>
      <c r="S265" s="25"/>
      <c r="T265" s="25"/>
    </row>
    <row r="266" spans="14:20">
      <c r="N266" s="25"/>
      <c r="O266" s="25"/>
      <c r="P266" s="25"/>
      <c r="Q266" s="25"/>
      <c r="R266" s="25"/>
      <c r="S266" s="25"/>
      <c r="T266" s="25"/>
    </row>
    <row r="267" spans="14:20">
      <c r="N267" s="25"/>
      <c r="O267" s="25"/>
      <c r="P267" s="25"/>
      <c r="Q267" s="25"/>
      <c r="R267" s="25"/>
      <c r="S267" s="25"/>
      <c r="T267" s="25"/>
    </row>
  </sheetData>
  <mergeCells count="15">
    <mergeCell ref="B6:G6"/>
    <mergeCell ref="A61:H61"/>
    <mergeCell ref="A92:H92"/>
    <mergeCell ref="A30:O30"/>
    <mergeCell ref="A184:K184"/>
    <mergeCell ref="A94:J94"/>
    <mergeCell ref="A96:J96"/>
    <mergeCell ref="A97:J97"/>
    <mergeCell ref="A243:H243"/>
    <mergeCell ref="A123:J123"/>
    <mergeCell ref="A154:J154"/>
    <mergeCell ref="A125:J125"/>
    <mergeCell ref="A127:J127"/>
    <mergeCell ref="A128:J128"/>
    <mergeCell ref="A215:I215"/>
  </mergeCells>
  <phoneticPr fontId="0" type="noConversion"/>
  <printOptions horizontalCentered="1"/>
  <pageMargins left="0.5" right="0.5" top="1" bottom="0.85" header="0.75" footer="0.5"/>
  <pageSetup scale="96" firstPageNumber="48"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4" max="14" man="1"/>
    <brk id="155" max="14" man="1"/>
    <brk id="185" max="14" man="1"/>
  </rowBreaks>
  <legacyDrawing r:id="rId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7"/>
  </sheetPr>
  <dimension ref="A1:AF208"/>
  <sheetViews>
    <sheetView workbookViewId="0">
      <selection activeCell="F10" sqref="F10"/>
    </sheetView>
  </sheetViews>
  <sheetFormatPr defaultRowHeight="12.75"/>
  <cols>
    <col min="1" max="1" width="9.1640625" style="508" customWidth="1"/>
    <col min="2" max="2" width="48" style="509" customWidth="1"/>
    <col min="3" max="9" width="19.6640625" style="510" customWidth="1"/>
    <col min="10" max="12" width="15" style="510" customWidth="1"/>
    <col min="13" max="13" width="15" style="511" customWidth="1"/>
    <col min="14" max="14" width="19.33203125" style="510" customWidth="1"/>
    <col min="15" max="17" width="14.1640625" style="507" customWidth="1"/>
    <col min="18" max="18" width="18.5" style="507" customWidth="1"/>
    <col min="19" max="19" width="11" style="507" customWidth="1"/>
    <col min="20" max="20" width="12.1640625" style="507" customWidth="1"/>
    <col min="21" max="21" width="10.5" style="507" customWidth="1"/>
    <col min="22" max="22" width="12.1640625" style="507" customWidth="1"/>
    <col min="23" max="23" width="9.33203125" style="507" customWidth="1"/>
    <col min="24" max="24" width="13" style="507" customWidth="1"/>
    <col min="25" max="25" width="11.33203125" style="507" customWidth="1"/>
    <col min="26" max="26" width="12.33203125" style="507" customWidth="1"/>
    <col min="27" max="27" width="9.33203125" style="507"/>
    <col min="28" max="28" width="19" style="507" customWidth="1"/>
    <col min="29" max="29" width="15.6640625" style="507" customWidth="1"/>
    <col min="30" max="30" width="14.83203125" style="507" customWidth="1"/>
    <col min="31" max="31" width="11.83203125" style="507" customWidth="1"/>
    <col min="32" max="32" width="9.5" style="507" bestFit="1" customWidth="1"/>
    <col min="33" max="16384" width="9.33203125" style="507"/>
  </cols>
  <sheetData>
    <row r="1" spans="1:26" s="74" customFormat="1">
      <c r="A1" s="88"/>
      <c r="B1" s="87"/>
      <c r="C1" s="4"/>
      <c r="D1" s="4"/>
      <c r="E1" s="4"/>
      <c r="F1" s="4"/>
      <c r="G1" s="4"/>
      <c r="H1" s="4"/>
      <c r="I1" s="4"/>
      <c r="J1" s="4"/>
      <c r="K1" s="4"/>
      <c r="L1" s="4"/>
      <c r="M1" s="86"/>
      <c r="N1" s="4"/>
      <c r="S1" s="107" t="s">
        <v>436</v>
      </c>
      <c r="T1" s="107"/>
      <c r="U1" s="107"/>
      <c r="V1" s="107"/>
      <c r="W1" s="107"/>
      <c r="X1" s="107"/>
      <c r="Y1" s="107"/>
      <c r="Z1" s="107"/>
    </row>
    <row r="2" spans="1:26">
      <c r="A2" s="568"/>
      <c r="B2" s="569"/>
      <c r="C2" s="570" t="s">
        <v>443</v>
      </c>
      <c r="D2" s="571" t="s">
        <v>518</v>
      </c>
      <c r="E2" s="571"/>
      <c r="F2" s="571"/>
      <c r="G2" s="571"/>
      <c r="H2" s="571"/>
      <c r="I2" s="571"/>
      <c r="J2" s="597"/>
      <c r="K2" s="571"/>
      <c r="L2" s="571"/>
      <c r="M2" s="572"/>
      <c r="N2" s="574"/>
      <c r="O2" s="597"/>
      <c r="P2" s="571"/>
      <c r="Q2" s="571"/>
      <c r="R2" s="571"/>
      <c r="S2" s="598"/>
      <c r="T2" s="598"/>
      <c r="U2" s="598"/>
      <c r="V2" s="598"/>
      <c r="W2" s="598"/>
      <c r="X2" s="598"/>
      <c r="Y2" s="598"/>
      <c r="Z2" s="599"/>
    </row>
    <row r="3" spans="1:26" s="74" customFormat="1">
      <c r="A3" s="568"/>
      <c r="B3" s="569"/>
      <c r="C3" s="570" t="s">
        <v>474</v>
      </c>
      <c r="D3" s="571"/>
      <c r="E3" s="571"/>
      <c r="F3" s="571"/>
      <c r="G3" s="571"/>
      <c r="H3" s="571"/>
      <c r="I3" s="570" t="s">
        <v>95</v>
      </c>
      <c r="J3" s="570" t="s">
        <v>492</v>
      </c>
      <c r="K3" s="571"/>
      <c r="L3" s="571"/>
      <c r="M3" s="571"/>
      <c r="N3" s="570" t="s">
        <v>96</v>
      </c>
      <c r="O3" s="570" t="s">
        <v>415</v>
      </c>
      <c r="P3" s="571"/>
      <c r="Q3" s="571"/>
      <c r="R3" s="570" t="s">
        <v>97</v>
      </c>
      <c r="S3" s="615" t="s">
        <v>410</v>
      </c>
      <c r="T3" s="615" t="s">
        <v>87</v>
      </c>
      <c r="U3" s="615" t="s">
        <v>412</v>
      </c>
      <c r="V3" s="615" t="s">
        <v>84</v>
      </c>
      <c r="W3" s="615" t="s">
        <v>832</v>
      </c>
      <c r="X3" s="615" t="s">
        <v>85</v>
      </c>
      <c r="Y3" s="615" t="s">
        <v>669</v>
      </c>
      <c r="Z3" s="624" t="s">
        <v>86</v>
      </c>
    </row>
    <row r="4" spans="1:26">
      <c r="A4" s="568" t="s">
        <v>519</v>
      </c>
      <c r="B4" s="573" t="s">
        <v>466</v>
      </c>
      <c r="C4" s="611">
        <v>1</v>
      </c>
      <c r="D4" s="612">
        <v>2</v>
      </c>
      <c r="E4" s="612">
        <v>3</v>
      </c>
      <c r="F4" s="612">
        <v>4</v>
      </c>
      <c r="G4" s="612">
        <v>5</v>
      </c>
      <c r="H4" s="612">
        <v>6</v>
      </c>
      <c r="I4" s="610"/>
      <c r="J4" s="613" t="s">
        <v>469</v>
      </c>
      <c r="K4" s="614" t="s">
        <v>470</v>
      </c>
      <c r="L4" s="614" t="s">
        <v>471</v>
      </c>
      <c r="M4" s="614" t="s">
        <v>472</v>
      </c>
      <c r="N4" s="610"/>
      <c r="O4" s="613" t="s">
        <v>416</v>
      </c>
      <c r="P4" s="614" t="s">
        <v>417</v>
      </c>
      <c r="Q4" s="612">
        <v>14</v>
      </c>
      <c r="R4" s="610"/>
      <c r="S4" s="635" t="s">
        <v>410</v>
      </c>
      <c r="T4" s="633"/>
      <c r="U4" s="635" t="s">
        <v>412</v>
      </c>
      <c r="V4" s="633"/>
      <c r="W4" s="635" t="s">
        <v>832</v>
      </c>
      <c r="X4" s="633"/>
      <c r="Y4" s="635" t="s">
        <v>669</v>
      </c>
      <c r="Z4" s="634"/>
    </row>
    <row r="5" spans="1:26">
      <c r="A5" s="575" t="s">
        <v>109</v>
      </c>
      <c r="B5" s="573" t="s">
        <v>499</v>
      </c>
      <c r="C5" s="570">
        <v>47670</v>
      </c>
      <c r="D5" s="574">
        <v>4888.6000000000004</v>
      </c>
      <c r="E5" s="574">
        <v>19609.2</v>
      </c>
      <c r="F5" s="574">
        <v>23470.7</v>
      </c>
      <c r="G5" s="574">
        <v>3996.3999999999996</v>
      </c>
      <c r="H5" s="574">
        <v>2452.6333333333332</v>
      </c>
      <c r="I5" s="570">
        <v>102087.53333333333</v>
      </c>
      <c r="J5" s="570"/>
      <c r="K5" s="574">
        <v>11777.233333333334</v>
      </c>
      <c r="L5" s="574">
        <v>34869.76666666667</v>
      </c>
      <c r="M5" s="574">
        <v>13943.666666666666</v>
      </c>
      <c r="N5" s="570">
        <v>60590.666666666664</v>
      </c>
      <c r="O5" s="570">
        <v>1207.2</v>
      </c>
      <c r="P5" s="574">
        <v>1863.0666666666666</v>
      </c>
      <c r="Q5" s="574"/>
      <c r="R5" s="570">
        <v>3070.2666666666664</v>
      </c>
      <c r="S5" s="570"/>
      <c r="T5" s="615"/>
      <c r="U5" s="570"/>
      <c r="V5" s="615"/>
      <c r="W5" s="570"/>
      <c r="X5" s="615"/>
      <c r="Y5" s="570"/>
      <c r="Z5" s="624"/>
    </row>
    <row r="6" spans="1:26">
      <c r="A6" s="576"/>
      <c r="B6" s="577" t="s">
        <v>497</v>
      </c>
      <c r="C6" s="578">
        <v>48838.3</v>
      </c>
      <c r="D6" s="579">
        <v>4992.8</v>
      </c>
      <c r="E6" s="579">
        <v>19961.400000000001</v>
      </c>
      <c r="F6" s="579">
        <v>23703.366666666665</v>
      </c>
      <c r="G6" s="579">
        <v>4048.2666666666669</v>
      </c>
      <c r="H6" s="579">
        <v>2656.3666666666668</v>
      </c>
      <c r="I6" s="578">
        <v>104200.5</v>
      </c>
      <c r="J6" s="578"/>
      <c r="K6" s="579">
        <v>12510.366666666665</v>
      </c>
      <c r="L6" s="579">
        <v>35622.333333333336</v>
      </c>
      <c r="M6" s="579">
        <v>14533.866666666669</v>
      </c>
      <c r="N6" s="578">
        <v>62666.566666666666</v>
      </c>
      <c r="O6" s="578">
        <v>1225.2666666666667</v>
      </c>
      <c r="P6" s="579">
        <v>1885.5</v>
      </c>
      <c r="Q6" s="579"/>
      <c r="R6" s="578">
        <v>3110.7666666666664</v>
      </c>
      <c r="S6" s="578"/>
      <c r="T6" s="616"/>
      <c r="U6" s="578"/>
      <c r="V6" s="616"/>
      <c r="W6" s="578"/>
      <c r="X6" s="616"/>
      <c r="Y6" s="578"/>
      <c r="Z6" s="625"/>
    </row>
    <row r="7" spans="1:26" s="74" customFormat="1">
      <c r="A7" s="576"/>
      <c r="B7" s="580" t="s">
        <v>511</v>
      </c>
      <c r="C7" s="581">
        <v>2.4508076358296682</v>
      </c>
      <c r="D7" s="582">
        <v>2.1314895880211062</v>
      </c>
      <c r="E7" s="582">
        <v>1.7960957101768593</v>
      </c>
      <c r="F7" s="582">
        <v>0.99130689185522469</v>
      </c>
      <c r="G7" s="582">
        <v>1.2978347179128027</v>
      </c>
      <c r="H7" s="582">
        <v>8.3067179494149261</v>
      </c>
      <c r="I7" s="581">
        <v>2.0697597421297718</v>
      </c>
      <c r="J7" s="581">
        <v>0</v>
      </c>
      <c r="K7" s="582">
        <v>6.2250047407851703</v>
      </c>
      <c r="L7" s="582">
        <v>2.1582211141839176</v>
      </c>
      <c r="M7" s="582">
        <v>4.2327460495804727</v>
      </c>
      <c r="N7" s="581">
        <v>3.426105230728608</v>
      </c>
      <c r="O7" s="581">
        <v>1.4965760989617798</v>
      </c>
      <c r="P7" s="582">
        <v>1.2041079224218167</v>
      </c>
      <c r="Q7" s="582">
        <v>0</v>
      </c>
      <c r="R7" s="581">
        <v>1.3191036609197899</v>
      </c>
      <c r="S7" s="581">
        <v>0</v>
      </c>
      <c r="T7" s="617">
        <v>0</v>
      </c>
      <c r="U7" s="581">
        <v>0</v>
      </c>
      <c r="V7" s="617">
        <v>0</v>
      </c>
      <c r="W7" s="581">
        <v>0</v>
      </c>
      <c r="X7" s="617">
        <v>0</v>
      </c>
      <c r="Y7" s="581">
        <v>0</v>
      </c>
      <c r="Z7" s="626">
        <v>0</v>
      </c>
    </row>
    <row r="8" spans="1:26" s="74" customFormat="1">
      <c r="A8" s="576"/>
      <c r="B8" s="577" t="s">
        <v>495</v>
      </c>
      <c r="C8" s="578">
        <v>0</v>
      </c>
      <c r="D8" s="579">
        <v>0</v>
      </c>
      <c r="E8" s="579">
        <v>0</v>
      </c>
      <c r="F8" s="579">
        <v>0</v>
      </c>
      <c r="G8" s="579">
        <v>0</v>
      </c>
      <c r="H8" s="579">
        <v>0</v>
      </c>
      <c r="I8" s="578">
        <v>0</v>
      </c>
      <c r="J8" s="578"/>
      <c r="K8" s="579">
        <v>0</v>
      </c>
      <c r="L8" s="579">
        <v>0</v>
      </c>
      <c r="M8" s="579">
        <v>0</v>
      </c>
      <c r="N8" s="578">
        <v>0</v>
      </c>
      <c r="O8" s="578">
        <v>0</v>
      </c>
      <c r="P8" s="579">
        <v>0</v>
      </c>
      <c r="Q8" s="579"/>
      <c r="R8" s="578">
        <v>0</v>
      </c>
      <c r="S8" s="578"/>
      <c r="T8" s="616"/>
      <c r="U8" s="578"/>
      <c r="V8" s="616"/>
      <c r="W8" s="578"/>
      <c r="X8" s="616"/>
      <c r="Y8" s="578"/>
      <c r="Z8" s="625"/>
    </row>
    <row r="9" spans="1:26" s="74" customFormat="1">
      <c r="A9" s="576"/>
      <c r="B9" s="577" t="s">
        <v>493</v>
      </c>
      <c r="C9" s="578">
        <v>0</v>
      </c>
      <c r="D9" s="579">
        <v>0</v>
      </c>
      <c r="E9" s="579">
        <v>0</v>
      </c>
      <c r="F9" s="579">
        <v>0</v>
      </c>
      <c r="G9" s="579">
        <v>0</v>
      </c>
      <c r="H9" s="579">
        <v>0</v>
      </c>
      <c r="I9" s="578">
        <v>0</v>
      </c>
      <c r="J9" s="578"/>
      <c r="K9" s="579">
        <v>0</v>
      </c>
      <c r="L9" s="579">
        <v>0</v>
      </c>
      <c r="M9" s="579">
        <v>0</v>
      </c>
      <c r="N9" s="578">
        <v>0</v>
      </c>
      <c r="O9" s="578">
        <v>0</v>
      </c>
      <c r="P9" s="579">
        <v>0</v>
      </c>
      <c r="Q9" s="579"/>
      <c r="R9" s="578">
        <v>0</v>
      </c>
      <c r="S9" s="578"/>
      <c r="T9" s="616"/>
      <c r="U9" s="578"/>
      <c r="V9" s="616"/>
      <c r="W9" s="578"/>
      <c r="X9" s="616"/>
      <c r="Y9" s="578"/>
      <c r="Z9" s="625"/>
    </row>
    <row r="10" spans="1:26" s="74" customFormat="1">
      <c r="A10" s="576"/>
      <c r="B10" s="580" t="s">
        <v>513</v>
      </c>
      <c r="C10" s="581">
        <v>0</v>
      </c>
      <c r="D10" s="582">
        <v>0</v>
      </c>
      <c r="E10" s="582">
        <v>0</v>
      </c>
      <c r="F10" s="582">
        <v>0</v>
      </c>
      <c r="G10" s="582">
        <v>0</v>
      </c>
      <c r="H10" s="582">
        <v>0</v>
      </c>
      <c r="I10" s="581">
        <v>0</v>
      </c>
      <c r="J10" s="581">
        <v>0</v>
      </c>
      <c r="K10" s="582">
        <v>0</v>
      </c>
      <c r="L10" s="582">
        <v>0</v>
      </c>
      <c r="M10" s="582">
        <v>0</v>
      </c>
      <c r="N10" s="581">
        <v>0</v>
      </c>
      <c r="O10" s="581">
        <v>0</v>
      </c>
      <c r="P10" s="582">
        <v>0</v>
      </c>
      <c r="Q10" s="582">
        <v>0</v>
      </c>
      <c r="R10" s="581">
        <v>0</v>
      </c>
      <c r="S10" s="581">
        <v>0</v>
      </c>
      <c r="T10" s="617">
        <v>0</v>
      </c>
      <c r="U10" s="581">
        <v>0</v>
      </c>
      <c r="V10" s="617">
        <v>0</v>
      </c>
      <c r="W10" s="581">
        <v>0</v>
      </c>
      <c r="X10" s="617">
        <v>0</v>
      </c>
      <c r="Y10" s="581">
        <v>0</v>
      </c>
      <c r="Z10" s="626">
        <v>0</v>
      </c>
    </row>
    <row r="11" spans="1:26" s="74" customFormat="1">
      <c r="A11" s="576"/>
      <c r="B11" s="577" t="s">
        <v>501</v>
      </c>
      <c r="C11" s="578">
        <v>8851.4583333333321</v>
      </c>
      <c r="D11" s="579">
        <v>862.33333333333337</v>
      </c>
      <c r="E11" s="579">
        <v>2797.9166666666665</v>
      </c>
      <c r="F11" s="579">
        <v>4147.041666666667</v>
      </c>
      <c r="G11" s="579">
        <v>1554.1666666666665</v>
      </c>
      <c r="H11" s="579">
        <v>0</v>
      </c>
      <c r="I11" s="578">
        <v>18212.916666666668</v>
      </c>
      <c r="J11" s="578"/>
      <c r="K11" s="579">
        <v>0</v>
      </c>
      <c r="L11" s="579">
        <v>0</v>
      </c>
      <c r="M11" s="579">
        <v>0</v>
      </c>
      <c r="N11" s="578">
        <v>0</v>
      </c>
      <c r="O11" s="578">
        <v>0</v>
      </c>
      <c r="P11" s="579">
        <v>0</v>
      </c>
      <c r="Q11" s="579"/>
      <c r="R11" s="578">
        <v>0</v>
      </c>
      <c r="S11" s="578"/>
      <c r="T11" s="616"/>
      <c r="U11" s="578"/>
      <c r="V11" s="616"/>
      <c r="W11" s="578"/>
      <c r="X11" s="616"/>
      <c r="Y11" s="578"/>
      <c r="Z11" s="625"/>
    </row>
    <row r="12" spans="1:26" s="74" customFormat="1">
      <c r="A12" s="576"/>
      <c r="B12" s="577" t="s">
        <v>503</v>
      </c>
      <c r="C12" s="578">
        <v>8986.75</v>
      </c>
      <c r="D12" s="579">
        <v>885.25</v>
      </c>
      <c r="E12" s="579">
        <v>2491.5833333333335</v>
      </c>
      <c r="F12" s="579">
        <v>4450.708333333333</v>
      </c>
      <c r="G12" s="579">
        <v>2064.708333333333</v>
      </c>
      <c r="H12" s="579">
        <v>0</v>
      </c>
      <c r="I12" s="578">
        <v>18879</v>
      </c>
      <c r="J12" s="578"/>
      <c r="K12" s="579">
        <v>0</v>
      </c>
      <c r="L12" s="579">
        <v>0</v>
      </c>
      <c r="M12" s="579">
        <v>0</v>
      </c>
      <c r="N12" s="578">
        <v>0</v>
      </c>
      <c r="O12" s="578">
        <v>0</v>
      </c>
      <c r="P12" s="579">
        <v>0</v>
      </c>
      <c r="Q12" s="579"/>
      <c r="R12" s="578">
        <v>0</v>
      </c>
      <c r="S12" s="578"/>
      <c r="T12" s="616"/>
      <c r="U12" s="578"/>
      <c r="V12" s="616"/>
      <c r="W12" s="578"/>
      <c r="X12" s="616"/>
      <c r="Y12" s="578"/>
      <c r="Z12" s="625"/>
    </row>
    <row r="13" spans="1:26" s="74" customFormat="1">
      <c r="A13" s="576"/>
      <c r="B13" s="580" t="s">
        <v>505</v>
      </c>
      <c r="C13" s="581">
        <v>1.5284675312448652</v>
      </c>
      <c r="D13" s="582">
        <v>2.6575183610359447</v>
      </c>
      <c r="E13" s="582">
        <v>-10.948622486969462</v>
      </c>
      <c r="F13" s="582">
        <v>7.3224889228264978</v>
      </c>
      <c r="G13" s="582">
        <v>32.849865951742615</v>
      </c>
      <c r="H13" s="582">
        <v>0</v>
      </c>
      <c r="I13" s="581">
        <v>3.6572029923817944</v>
      </c>
      <c r="J13" s="581">
        <v>0</v>
      </c>
      <c r="K13" s="582">
        <v>0</v>
      </c>
      <c r="L13" s="582">
        <v>0</v>
      </c>
      <c r="M13" s="582">
        <v>0</v>
      </c>
      <c r="N13" s="581">
        <v>0</v>
      </c>
      <c r="O13" s="581">
        <v>0</v>
      </c>
      <c r="P13" s="582">
        <v>0</v>
      </c>
      <c r="Q13" s="582">
        <v>0</v>
      </c>
      <c r="R13" s="581">
        <v>0</v>
      </c>
      <c r="S13" s="581">
        <v>0</v>
      </c>
      <c r="T13" s="617">
        <v>0</v>
      </c>
      <c r="U13" s="581">
        <v>0</v>
      </c>
      <c r="V13" s="617">
        <v>0</v>
      </c>
      <c r="W13" s="581">
        <v>0</v>
      </c>
      <c r="X13" s="617">
        <v>0</v>
      </c>
      <c r="Y13" s="581">
        <v>0</v>
      </c>
      <c r="Z13" s="626">
        <v>0</v>
      </c>
    </row>
    <row r="14" spans="1:26" s="74" customFormat="1">
      <c r="A14" s="576"/>
      <c r="B14" s="577" t="s">
        <v>67</v>
      </c>
      <c r="C14" s="578">
        <v>56521.458333333336</v>
      </c>
      <c r="D14" s="579">
        <v>5750.9333333333334</v>
      </c>
      <c r="E14" s="579">
        <v>22407.116666666669</v>
      </c>
      <c r="F14" s="579">
        <v>27617.741666666669</v>
      </c>
      <c r="G14" s="579">
        <v>5550.5666666666666</v>
      </c>
      <c r="H14" s="579">
        <v>2452.6333333333332</v>
      </c>
      <c r="I14" s="578">
        <v>120300.45</v>
      </c>
      <c r="J14" s="578"/>
      <c r="K14" s="579">
        <v>11777.233333333334</v>
      </c>
      <c r="L14" s="579">
        <v>34869.76666666667</v>
      </c>
      <c r="M14" s="579">
        <v>13943.666666666666</v>
      </c>
      <c r="N14" s="578">
        <v>60590.666666666664</v>
      </c>
      <c r="O14" s="578">
        <v>1207.2</v>
      </c>
      <c r="P14" s="579">
        <v>1863.0666666666666</v>
      </c>
      <c r="Q14" s="579"/>
      <c r="R14" s="578">
        <v>3070.2666666666664</v>
      </c>
      <c r="S14" s="578"/>
      <c r="T14" s="616"/>
      <c r="U14" s="578"/>
      <c r="V14" s="616"/>
      <c r="W14" s="578"/>
      <c r="X14" s="616"/>
      <c r="Y14" s="578"/>
      <c r="Z14" s="625"/>
    </row>
    <row r="15" spans="1:26" s="74" customFormat="1">
      <c r="A15" s="576"/>
      <c r="B15" s="577" t="s">
        <v>507</v>
      </c>
      <c r="C15" s="578">
        <v>57825.05</v>
      </c>
      <c r="D15" s="579">
        <v>5878.05</v>
      </c>
      <c r="E15" s="579">
        <v>22452.98333333333</v>
      </c>
      <c r="F15" s="579">
        <v>28154.075000000001</v>
      </c>
      <c r="G15" s="579">
        <v>6112.9750000000004</v>
      </c>
      <c r="H15" s="579">
        <v>2656.3666666666668</v>
      </c>
      <c r="I15" s="578">
        <v>123079.50000000001</v>
      </c>
      <c r="J15" s="578"/>
      <c r="K15" s="579">
        <v>12510.366666666665</v>
      </c>
      <c r="L15" s="579">
        <v>35622.333333333336</v>
      </c>
      <c r="M15" s="579">
        <v>14533.866666666669</v>
      </c>
      <c r="N15" s="578">
        <v>62666.566666666666</v>
      </c>
      <c r="O15" s="578">
        <v>1225.2666666666667</v>
      </c>
      <c r="P15" s="579">
        <v>1885.5</v>
      </c>
      <c r="Q15" s="579"/>
      <c r="R15" s="578">
        <v>3110.7666666666664</v>
      </c>
      <c r="S15" s="578"/>
      <c r="T15" s="616"/>
      <c r="U15" s="578"/>
      <c r="V15" s="616"/>
      <c r="W15" s="578"/>
      <c r="X15" s="616"/>
      <c r="Y15" s="578"/>
      <c r="Z15" s="625"/>
    </row>
    <row r="16" spans="1:26" s="74" customFormat="1">
      <c r="A16" s="604"/>
      <c r="B16" s="608" t="s">
        <v>509</v>
      </c>
      <c r="C16" s="606">
        <v>2.306365945087228</v>
      </c>
      <c r="D16" s="607">
        <v>2.2103658536585384</v>
      </c>
      <c r="E16" s="607">
        <v>0.20469687086020141</v>
      </c>
      <c r="F16" s="607">
        <v>1.9419883776400932</v>
      </c>
      <c r="G16" s="607">
        <v>10.132448939147363</v>
      </c>
      <c r="H16" s="607">
        <v>8.3067179494149261</v>
      </c>
      <c r="I16" s="606">
        <v>2.3100911093848677</v>
      </c>
      <c r="J16" s="606">
        <v>0</v>
      </c>
      <c r="K16" s="607">
        <v>6.2250047407851703</v>
      </c>
      <c r="L16" s="607">
        <v>2.1582211141839176</v>
      </c>
      <c r="M16" s="607">
        <v>4.2327460495804727</v>
      </c>
      <c r="N16" s="606">
        <v>3.426105230728608</v>
      </c>
      <c r="O16" s="606">
        <v>1.4965760989617798</v>
      </c>
      <c r="P16" s="607">
        <v>1.2041079224218167</v>
      </c>
      <c r="Q16" s="607">
        <v>0</v>
      </c>
      <c r="R16" s="606">
        <v>1.3191036609197899</v>
      </c>
      <c r="S16" s="606">
        <v>0</v>
      </c>
      <c r="T16" s="618">
        <v>0</v>
      </c>
      <c r="U16" s="606">
        <v>0</v>
      </c>
      <c r="V16" s="618">
        <v>0</v>
      </c>
      <c r="W16" s="606">
        <v>0</v>
      </c>
      <c r="X16" s="618">
        <v>0</v>
      </c>
      <c r="Y16" s="606">
        <v>0</v>
      </c>
      <c r="Z16" s="627">
        <v>0</v>
      </c>
    </row>
    <row r="17" spans="1:26" s="74" customFormat="1">
      <c r="A17" s="575" t="s">
        <v>833</v>
      </c>
      <c r="B17" s="573" t="s">
        <v>499</v>
      </c>
      <c r="C17" s="570">
        <v>13670.633333333333</v>
      </c>
      <c r="D17" s="574"/>
      <c r="E17" s="574">
        <v>25364.633333333335</v>
      </c>
      <c r="F17" s="574">
        <v>9147.6666666666679</v>
      </c>
      <c r="G17" s="574">
        <v>5215.7666666666664</v>
      </c>
      <c r="H17" s="574">
        <v>8010.8333333333339</v>
      </c>
      <c r="I17" s="570">
        <v>61409.533333333333</v>
      </c>
      <c r="J17" s="570"/>
      <c r="K17" s="574">
        <v>6127.6333333333332</v>
      </c>
      <c r="L17" s="574">
        <v>6984.8666666666668</v>
      </c>
      <c r="M17" s="574">
        <v>21402.766666666666</v>
      </c>
      <c r="N17" s="570">
        <v>34515.266666666663</v>
      </c>
      <c r="O17" s="570"/>
      <c r="P17" s="574"/>
      <c r="Q17" s="574"/>
      <c r="R17" s="570"/>
      <c r="S17" s="570"/>
      <c r="T17" s="615"/>
      <c r="U17" s="570"/>
      <c r="V17" s="615"/>
      <c r="W17" s="570"/>
      <c r="X17" s="615"/>
      <c r="Y17" s="570"/>
      <c r="Z17" s="624"/>
    </row>
    <row r="18" spans="1:26" s="74" customFormat="1">
      <c r="A18" s="576"/>
      <c r="B18" s="577" t="s">
        <v>497</v>
      </c>
      <c r="C18" s="578">
        <v>14281.666666666666</v>
      </c>
      <c r="D18" s="579"/>
      <c r="E18" s="579">
        <v>25614.033333333333</v>
      </c>
      <c r="F18" s="579">
        <v>9335.5333333333328</v>
      </c>
      <c r="G18" s="579">
        <v>5153.6000000000004</v>
      </c>
      <c r="H18" s="579">
        <v>8373.9</v>
      </c>
      <c r="I18" s="578">
        <v>62758.73333333333</v>
      </c>
      <c r="J18" s="578"/>
      <c r="K18" s="579">
        <v>6341.166666666667</v>
      </c>
      <c r="L18" s="579">
        <v>7718.1666666666661</v>
      </c>
      <c r="M18" s="579">
        <v>22681.599999999999</v>
      </c>
      <c r="N18" s="578">
        <v>36740.933333333334</v>
      </c>
      <c r="O18" s="578"/>
      <c r="P18" s="579"/>
      <c r="Q18" s="579"/>
      <c r="R18" s="578"/>
      <c r="S18" s="578"/>
      <c r="T18" s="616"/>
      <c r="U18" s="578"/>
      <c r="V18" s="616"/>
      <c r="W18" s="578"/>
      <c r="X18" s="616"/>
      <c r="Y18" s="578"/>
      <c r="Z18" s="625"/>
    </row>
    <row r="19" spans="1:26" s="74" customFormat="1">
      <c r="A19" s="576"/>
      <c r="B19" s="580" t="s">
        <v>511</v>
      </c>
      <c r="C19" s="581">
        <v>4.4696783128799167</v>
      </c>
      <c r="D19" s="582">
        <v>0</v>
      </c>
      <c r="E19" s="582">
        <v>0.98325884203594949</v>
      </c>
      <c r="F19" s="582">
        <v>2.053711328936322</v>
      </c>
      <c r="G19" s="582">
        <v>-1.1918989218587117</v>
      </c>
      <c r="H19" s="582">
        <v>4.5321959846041695</v>
      </c>
      <c r="I19" s="581">
        <v>2.1970530091418983</v>
      </c>
      <c r="J19" s="581">
        <v>0</v>
      </c>
      <c r="K19" s="582">
        <v>3.4847602935336717</v>
      </c>
      <c r="L19" s="582">
        <v>10.498410850123589</v>
      </c>
      <c r="M19" s="582">
        <v>5.9750842180839498</v>
      </c>
      <c r="N19" s="581">
        <v>6.4483542548321751</v>
      </c>
      <c r="O19" s="581">
        <v>0</v>
      </c>
      <c r="P19" s="582">
        <v>0</v>
      </c>
      <c r="Q19" s="582">
        <v>0</v>
      </c>
      <c r="R19" s="581">
        <v>0</v>
      </c>
      <c r="S19" s="581">
        <v>0</v>
      </c>
      <c r="T19" s="617">
        <v>0</v>
      </c>
      <c r="U19" s="581">
        <v>0</v>
      </c>
      <c r="V19" s="617">
        <v>0</v>
      </c>
      <c r="W19" s="581">
        <v>0</v>
      </c>
      <c r="X19" s="617">
        <v>0</v>
      </c>
      <c r="Y19" s="581">
        <v>0</v>
      </c>
      <c r="Z19" s="626">
        <v>0</v>
      </c>
    </row>
    <row r="20" spans="1:26" s="74" customFormat="1">
      <c r="A20" s="576"/>
      <c r="B20" s="577" t="s">
        <v>495</v>
      </c>
      <c r="C20" s="578">
        <v>0</v>
      </c>
      <c r="D20" s="579"/>
      <c r="E20" s="579">
        <v>0</v>
      </c>
      <c r="F20" s="579">
        <v>0</v>
      </c>
      <c r="G20" s="579">
        <v>0</v>
      </c>
      <c r="H20" s="579">
        <v>0</v>
      </c>
      <c r="I20" s="578">
        <v>0</v>
      </c>
      <c r="J20" s="578"/>
      <c r="K20" s="579">
        <v>0</v>
      </c>
      <c r="L20" s="579">
        <v>0</v>
      </c>
      <c r="M20" s="579">
        <v>0</v>
      </c>
      <c r="N20" s="578">
        <v>0</v>
      </c>
      <c r="O20" s="578"/>
      <c r="P20" s="579"/>
      <c r="Q20" s="579"/>
      <c r="R20" s="578"/>
      <c r="S20" s="578"/>
      <c r="T20" s="616"/>
      <c r="U20" s="578"/>
      <c r="V20" s="616"/>
      <c r="W20" s="578"/>
      <c r="X20" s="616"/>
      <c r="Y20" s="578"/>
      <c r="Z20" s="625"/>
    </row>
    <row r="21" spans="1:26" s="74" customFormat="1">
      <c r="A21" s="576"/>
      <c r="B21" s="577" t="s">
        <v>493</v>
      </c>
      <c r="C21" s="578">
        <v>0</v>
      </c>
      <c r="D21" s="579"/>
      <c r="E21" s="579">
        <v>0</v>
      </c>
      <c r="F21" s="579">
        <v>0</v>
      </c>
      <c r="G21" s="579">
        <v>0</v>
      </c>
      <c r="H21" s="579">
        <v>0</v>
      </c>
      <c r="I21" s="578">
        <v>0</v>
      </c>
      <c r="J21" s="578"/>
      <c r="K21" s="579">
        <v>0</v>
      </c>
      <c r="L21" s="579">
        <v>0</v>
      </c>
      <c r="M21" s="579">
        <v>0</v>
      </c>
      <c r="N21" s="578">
        <v>0</v>
      </c>
      <c r="O21" s="578"/>
      <c r="P21" s="579"/>
      <c r="Q21" s="579"/>
      <c r="R21" s="578"/>
      <c r="S21" s="578"/>
      <c r="T21" s="616"/>
      <c r="U21" s="578"/>
      <c r="V21" s="616"/>
      <c r="W21" s="578"/>
      <c r="X21" s="616"/>
      <c r="Y21" s="578"/>
      <c r="Z21" s="625"/>
    </row>
    <row r="22" spans="1:26" s="74" customFormat="1">
      <c r="A22" s="576"/>
      <c r="B22" s="580" t="s">
        <v>513</v>
      </c>
      <c r="C22" s="581">
        <v>0</v>
      </c>
      <c r="D22" s="582">
        <v>0</v>
      </c>
      <c r="E22" s="582">
        <v>0</v>
      </c>
      <c r="F22" s="582">
        <v>0</v>
      </c>
      <c r="G22" s="582">
        <v>0</v>
      </c>
      <c r="H22" s="582">
        <v>0</v>
      </c>
      <c r="I22" s="581">
        <v>0</v>
      </c>
      <c r="J22" s="581">
        <v>0</v>
      </c>
      <c r="K22" s="582">
        <v>0</v>
      </c>
      <c r="L22" s="582">
        <v>0</v>
      </c>
      <c r="M22" s="582">
        <v>0</v>
      </c>
      <c r="N22" s="581">
        <v>0</v>
      </c>
      <c r="O22" s="581">
        <v>0</v>
      </c>
      <c r="P22" s="582">
        <v>0</v>
      </c>
      <c r="Q22" s="582">
        <v>0</v>
      </c>
      <c r="R22" s="581">
        <v>0</v>
      </c>
      <c r="S22" s="581">
        <v>0</v>
      </c>
      <c r="T22" s="617">
        <v>0</v>
      </c>
      <c r="U22" s="581">
        <v>0</v>
      </c>
      <c r="V22" s="617">
        <v>0</v>
      </c>
      <c r="W22" s="581">
        <v>0</v>
      </c>
      <c r="X22" s="617">
        <v>0</v>
      </c>
      <c r="Y22" s="581">
        <v>0</v>
      </c>
      <c r="Z22" s="626">
        <v>0</v>
      </c>
    </row>
    <row r="23" spans="1:26" s="74" customFormat="1">
      <c r="A23" s="576"/>
      <c r="B23" s="577" t="s">
        <v>501</v>
      </c>
      <c r="C23" s="578">
        <v>2842.1666666666665</v>
      </c>
      <c r="D23" s="579"/>
      <c r="E23" s="579">
        <v>4468.5416666666661</v>
      </c>
      <c r="F23" s="579">
        <v>894.58333333333326</v>
      </c>
      <c r="G23" s="579">
        <v>333.125</v>
      </c>
      <c r="H23" s="579">
        <v>63.208333333333336</v>
      </c>
      <c r="I23" s="578">
        <v>8601.625</v>
      </c>
      <c r="J23" s="578"/>
      <c r="K23" s="579">
        <v>0</v>
      </c>
      <c r="L23" s="579">
        <v>0</v>
      </c>
      <c r="M23" s="579">
        <v>0</v>
      </c>
      <c r="N23" s="578">
        <v>0</v>
      </c>
      <c r="O23" s="578"/>
      <c r="P23" s="579"/>
      <c r="Q23" s="579"/>
      <c r="R23" s="578"/>
      <c r="S23" s="578"/>
      <c r="T23" s="616"/>
      <c r="U23" s="578"/>
      <c r="V23" s="616"/>
      <c r="W23" s="578"/>
      <c r="X23" s="616"/>
      <c r="Y23" s="578"/>
      <c r="Z23" s="625"/>
    </row>
    <row r="24" spans="1:26" s="74" customFormat="1">
      <c r="A24" s="576"/>
      <c r="B24" s="577" t="s">
        <v>503</v>
      </c>
      <c r="C24" s="578">
        <v>2907.0416666666665</v>
      </c>
      <c r="D24" s="579"/>
      <c r="E24" s="579">
        <v>4700.458333333333</v>
      </c>
      <c r="F24" s="579">
        <v>874.45833333333326</v>
      </c>
      <c r="G24" s="579">
        <v>401.04166666666669</v>
      </c>
      <c r="H24" s="579">
        <v>85.25</v>
      </c>
      <c r="I24" s="578">
        <v>8968.25</v>
      </c>
      <c r="J24" s="578"/>
      <c r="K24" s="579">
        <v>0</v>
      </c>
      <c r="L24" s="579">
        <v>0</v>
      </c>
      <c r="M24" s="579">
        <v>0</v>
      </c>
      <c r="N24" s="578">
        <v>0</v>
      </c>
      <c r="O24" s="578"/>
      <c r="P24" s="579"/>
      <c r="Q24" s="579"/>
      <c r="R24" s="578"/>
      <c r="S24" s="578"/>
      <c r="T24" s="616"/>
      <c r="U24" s="578"/>
      <c r="V24" s="616"/>
      <c r="W24" s="578"/>
      <c r="X24" s="616"/>
      <c r="Y24" s="578"/>
      <c r="Z24" s="625"/>
    </row>
    <row r="25" spans="1:26" s="74" customFormat="1">
      <c r="A25" s="576"/>
      <c r="B25" s="580" t="s">
        <v>505</v>
      </c>
      <c r="C25" s="581">
        <v>2.2825895736820501</v>
      </c>
      <c r="D25" s="582">
        <v>0</v>
      </c>
      <c r="E25" s="582">
        <v>5.1899855471117613</v>
      </c>
      <c r="F25" s="582">
        <v>-2.2496506753609693</v>
      </c>
      <c r="G25" s="582">
        <v>20.387742338961857</v>
      </c>
      <c r="H25" s="582">
        <v>34.871456822676329</v>
      </c>
      <c r="I25" s="581">
        <v>4.2622760234258061</v>
      </c>
      <c r="J25" s="581">
        <v>0</v>
      </c>
      <c r="K25" s="582">
        <v>0</v>
      </c>
      <c r="L25" s="582">
        <v>0</v>
      </c>
      <c r="M25" s="582">
        <v>0</v>
      </c>
      <c r="N25" s="581">
        <v>0</v>
      </c>
      <c r="O25" s="581">
        <v>0</v>
      </c>
      <c r="P25" s="582">
        <v>0</v>
      </c>
      <c r="Q25" s="582">
        <v>0</v>
      </c>
      <c r="R25" s="581">
        <v>0</v>
      </c>
      <c r="S25" s="581">
        <v>0</v>
      </c>
      <c r="T25" s="617">
        <v>0</v>
      </c>
      <c r="U25" s="581">
        <v>0</v>
      </c>
      <c r="V25" s="617">
        <v>0</v>
      </c>
      <c r="W25" s="581">
        <v>0</v>
      </c>
      <c r="X25" s="617">
        <v>0</v>
      </c>
      <c r="Y25" s="581">
        <v>0</v>
      </c>
      <c r="Z25" s="626">
        <v>0</v>
      </c>
    </row>
    <row r="26" spans="1:26" s="74" customFormat="1">
      <c r="A26" s="576"/>
      <c r="B26" s="577" t="s">
        <v>67</v>
      </c>
      <c r="C26" s="578">
        <v>16512.8</v>
      </c>
      <c r="D26" s="579"/>
      <c r="E26" s="579">
        <v>29833.175000000003</v>
      </c>
      <c r="F26" s="579">
        <v>10042.25</v>
      </c>
      <c r="G26" s="579">
        <v>5548.8916666666664</v>
      </c>
      <c r="H26" s="579">
        <v>8074.041666666667</v>
      </c>
      <c r="I26" s="578">
        <v>70011.15833333334</v>
      </c>
      <c r="J26" s="578"/>
      <c r="K26" s="579">
        <v>6127.6333333333332</v>
      </c>
      <c r="L26" s="579">
        <v>6984.8666666666668</v>
      </c>
      <c r="M26" s="579">
        <v>21402.766666666666</v>
      </c>
      <c r="N26" s="578">
        <v>34515.266666666663</v>
      </c>
      <c r="O26" s="578"/>
      <c r="P26" s="579"/>
      <c r="Q26" s="579"/>
      <c r="R26" s="578"/>
      <c r="S26" s="578"/>
      <c r="T26" s="616"/>
      <c r="U26" s="578"/>
      <c r="V26" s="616"/>
      <c r="W26" s="578"/>
      <c r="X26" s="616"/>
      <c r="Y26" s="578"/>
      <c r="Z26" s="625"/>
    </row>
    <row r="27" spans="1:26" s="74" customFormat="1">
      <c r="A27" s="576"/>
      <c r="B27" s="577" t="s">
        <v>507</v>
      </c>
      <c r="C27" s="578">
        <v>17188.708333333332</v>
      </c>
      <c r="D27" s="579"/>
      <c r="E27" s="579">
        <v>30314.491666666669</v>
      </c>
      <c r="F27" s="579">
        <v>10209.991666666667</v>
      </c>
      <c r="G27" s="579">
        <v>5554.6416666666664</v>
      </c>
      <c r="H27" s="579">
        <v>8459.15</v>
      </c>
      <c r="I27" s="578">
        <v>71726.983333333323</v>
      </c>
      <c r="J27" s="578"/>
      <c r="K27" s="579">
        <v>6341.166666666667</v>
      </c>
      <c r="L27" s="579">
        <v>7718.1666666666661</v>
      </c>
      <c r="M27" s="579">
        <v>22681.599999999999</v>
      </c>
      <c r="N27" s="578">
        <v>36740.933333333334</v>
      </c>
      <c r="O27" s="578"/>
      <c r="P27" s="579"/>
      <c r="Q27" s="579"/>
      <c r="R27" s="578"/>
      <c r="S27" s="578"/>
      <c r="T27" s="616"/>
      <c r="U27" s="578"/>
      <c r="V27" s="616"/>
      <c r="W27" s="578"/>
      <c r="X27" s="616"/>
      <c r="Y27" s="578"/>
      <c r="Z27" s="625"/>
    </row>
    <row r="28" spans="1:26" s="74" customFormat="1">
      <c r="A28" s="604"/>
      <c r="B28" s="608" t="s">
        <v>509</v>
      </c>
      <c r="C28" s="578">
        <v>4.0932387804208421</v>
      </c>
      <c r="D28" s="579">
        <v>0</v>
      </c>
      <c r="E28" s="579">
        <v>1.6133605178351471</v>
      </c>
      <c r="F28" s="579">
        <v>1.6703593982092337</v>
      </c>
      <c r="G28" s="579">
        <v>0.10362429734466494</v>
      </c>
      <c r="H28" s="579">
        <v>4.7697095114487187</v>
      </c>
      <c r="I28" s="578">
        <v>2.4507879041662033</v>
      </c>
      <c r="J28" s="578">
        <v>0</v>
      </c>
      <c r="K28" s="579">
        <v>3.4847602935336717</v>
      </c>
      <c r="L28" s="579">
        <v>10.498410850123589</v>
      </c>
      <c r="M28" s="579">
        <v>5.9750842180839498</v>
      </c>
      <c r="N28" s="578">
        <v>6.4483542548321751</v>
      </c>
      <c r="O28" s="578">
        <v>0</v>
      </c>
      <c r="P28" s="579">
        <v>0</v>
      </c>
      <c r="Q28" s="579">
        <v>0</v>
      </c>
      <c r="R28" s="578">
        <v>0</v>
      </c>
      <c r="S28" s="578">
        <v>0</v>
      </c>
      <c r="T28" s="616">
        <v>0</v>
      </c>
      <c r="U28" s="578">
        <v>0</v>
      </c>
      <c r="V28" s="616">
        <v>0</v>
      </c>
      <c r="W28" s="578">
        <v>0</v>
      </c>
      <c r="X28" s="616">
        <v>0</v>
      </c>
      <c r="Y28" s="578">
        <v>0</v>
      </c>
      <c r="Z28" s="625">
        <v>0</v>
      </c>
    </row>
    <row r="29" spans="1:26" s="74" customFormat="1">
      <c r="A29" s="575" t="s">
        <v>66</v>
      </c>
      <c r="B29" s="573" t="s">
        <v>499</v>
      </c>
      <c r="C29" s="570">
        <v>16730.533333333333</v>
      </c>
      <c r="D29" s="574"/>
      <c r="E29" s="574"/>
      <c r="F29" s="574">
        <v>2704.6333333333332</v>
      </c>
      <c r="G29" s="574"/>
      <c r="H29" s="574"/>
      <c r="I29" s="570">
        <v>19435.166666666664</v>
      </c>
      <c r="J29" s="570"/>
      <c r="K29" s="574"/>
      <c r="L29" s="574">
        <v>7718.1</v>
      </c>
      <c r="M29" s="574">
        <v>2103.6</v>
      </c>
      <c r="N29" s="570">
        <v>9821.7000000000007</v>
      </c>
      <c r="O29" s="570"/>
      <c r="P29" s="574"/>
      <c r="Q29" s="574"/>
      <c r="R29" s="570"/>
      <c r="S29" s="570"/>
      <c r="T29" s="615"/>
      <c r="U29" s="570"/>
      <c r="V29" s="615"/>
      <c r="W29" s="570"/>
      <c r="X29" s="615"/>
      <c r="Y29" s="570"/>
      <c r="Z29" s="624"/>
    </row>
    <row r="30" spans="1:26" s="74" customFormat="1">
      <c r="A30" s="576"/>
      <c r="B30" s="577" t="s">
        <v>497</v>
      </c>
      <c r="C30" s="578">
        <v>16836.933333333334</v>
      </c>
      <c r="D30" s="579"/>
      <c r="E30" s="579"/>
      <c r="F30" s="579">
        <v>3219.4333333333334</v>
      </c>
      <c r="G30" s="579"/>
      <c r="H30" s="579"/>
      <c r="I30" s="578">
        <v>20056.366666666669</v>
      </c>
      <c r="J30" s="578"/>
      <c r="K30" s="579"/>
      <c r="L30" s="579">
        <v>7478.9</v>
      </c>
      <c r="M30" s="579">
        <v>2163.6666666666665</v>
      </c>
      <c r="N30" s="578">
        <v>9642.5666666666657</v>
      </c>
      <c r="O30" s="578"/>
      <c r="P30" s="579"/>
      <c r="Q30" s="579"/>
      <c r="R30" s="578"/>
      <c r="S30" s="578"/>
      <c r="T30" s="616"/>
      <c r="U30" s="578"/>
      <c r="V30" s="616"/>
      <c r="W30" s="578"/>
      <c r="X30" s="616"/>
      <c r="Y30" s="578"/>
      <c r="Z30" s="625"/>
    </row>
    <row r="31" spans="1:26" s="74" customFormat="1">
      <c r="A31" s="576"/>
      <c r="B31" s="580" t="s">
        <v>511</v>
      </c>
      <c r="C31" s="581">
        <v>0.63596298982300692</v>
      </c>
      <c r="D31" s="582">
        <v>0</v>
      </c>
      <c r="E31" s="582">
        <v>0</v>
      </c>
      <c r="F31" s="582">
        <v>19.034003376921092</v>
      </c>
      <c r="G31" s="582">
        <v>0</v>
      </c>
      <c r="H31" s="582">
        <v>0</v>
      </c>
      <c r="I31" s="581">
        <v>3.1962679335568915</v>
      </c>
      <c r="J31" s="581">
        <v>0</v>
      </c>
      <c r="K31" s="582">
        <v>0</v>
      </c>
      <c r="L31" s="582">
        <v>-3.0992083543877471</v>
      </c>
      <c r="M31" s="582">
        <v>2.8554224504024819</v>
      </c>
      <c r="N31" s="581">
        <v>-1.823852625648666</v>
      </c>
      <c r="O31" s="581">
        <v>0</v>
      </c>
      <c r="P31" s="582">
        <v>0</v>
      </c>
      <c r="Q31" s="582">
        <v>0</v>
      </c>
      <c r="R31" s="581">
        <v>0</v>
      </c>
      <c r="S31" s="581">
        <v>0</v>
      </c>
      <c r="T31" s="617">
        <v>0</v>
      </c>
      <c r="U31" s="581">
        <v>0</v>
      </c>
      <c r="V31" s="617">
        <v>0</v>
      </c>
      <c r="W31" s="581">
        <v>0</v>
      </c>
      <c r="X31" s="617">
        <v>0</v>
      </c>
      <c r="Y31" s="581">
        <v>0</v>
      </c>
      <c r="Z31" s="626">
        <v>0</v>
      </c>
    </row>
    <row r="32" spans="1:26" s="74" customFormat="1">
      <c r="A32" s="576"/>
      <c r="B32" s="577" t="s">
        <v>495</v>
      </c>
      <c r="C32" s="578">
        <v>0</v>
      </c>
      <c r="D32" s="579"/>
      <c r="E32" s="579"/>
      <c r="F32" s="579">
        <v>0</v>
      </c>
      <c r="G32" s="579"/>
      <c r="H32" s="579"/>
      <c r="I32" s="578">
        <v>0</v>
      </c>
      <c r="J32" s="578"/>
      <c r="K32" s="579"/>
      <c r="L32" s="579">
        <v>0</v>
      </c>
      <c r="M32" s="579">
        <v>0</v>
      </c>
      <c r="N32" s="578">
        <v>0</v>
      </c>
      <c r="O32" s="578"/>
      <c r="P32" s="579"/>
      <c r="Q32" s="579"/>
      <c r="R32" s="578"/>
      <c r="S32" s="578"/>
      <c r="T32" s="616"/>
      <c r="U32" s="578"/>
      <c r="V32" s="616"/>
      <c r="W32" s="578"/>
      <c r="X32" s="616"/>
      <c r="Y32" s="578"/>
      <c r="Z32" s="625"/>
    </row>
    <row r="33" spans="1:26" s="74" customFormat="1">
      <c r="A33" s="576"/>
      <c r="B33" s="577" t="s">
        <v>493</v>
      </c>
      <c r="C33" s="578">
        <v>0</v>
      </c>
      <c r="D33" s="579"/>
      <c r="E33" s="579"/>
      <c r="F33" s="579">
        <v>0</v>
      </c>
      <c r="G33" s="579"/>
      <c r="H33" s="579"/>
      <c r="I33" s="578">
        <v>0</v>
      </c>
      <c r="J33" s="578"/>
      <c r="K33" s="579"/>
      <c r="L33" s="579">
        <v>0</v>
      </c>
      <c r="M33" s="579">
        <v>0</v>
      </c>
      <c r="N33" s="578">
        <v>0</v>
      </c>
      <c r="O33" s="578"/>
      <c r="P33" s="579"/>
      <c r="Q33" s="579"/>
      <c r="R33" s="578"/>
      <c r="S33" s="578"/>
      <c r="T33" s="616"/>
      <c r="U33" s="578"/>
      <c r="V33" s="616"/>
      <c r="W33" s="578"/>
      <c r="X33" s="616"/>
      <c r="Y33" s="578"/>
      <c r="Z33" s="625"/>
    </row>
    <row r="34" spans="1:26" s="74" customFormat="1">
      <c r="A34" s="576"/>
      <c r="B34" s="580" t="s">
        <v>513</v>
      </c>
      <c r="C34" s="581">
        <v>0</v>
      </c>
      <c r="D34" s="582">
        <v>0</v>
      </c>
      <c r="E34" s="582">
        <v>0</v>
      </c>
      <c r="F34" s="582">
        <v>0</v>
      </c>
      <c r="G34" s="582">
        <v>0</v>
      </c>
      <c r="H34" s="582">
        <v>0</v>
      </c>
      <c r="I34" s="581">
        <v>0</v>
      </c>
      <c r="J34" s="581">
        <v>0</v>
      </c>
      <c r="K34" s="582">
        <v>0</v>
      </c>
      <c r="L34" s="582">
        <v>0</v>
      </c>
      <c r="M34" s="582">
        <v>0</v>
      </c>
      <c r="N34" s="581">
        <v>0</v>
      </c>
      <c r="O34" s="581">
        <v>0</v>
      </c>
      <c r="P34" s="582">
        <v>0</v>
      </c>
      <c r="Q34" s="582">
        <v>0</v>
      </c>
      <c r="R34" s="581">
        <v>0</v>
      </c>
      <c r="S34" s="581">
        <v>0</v>
      </c>
      <c r="T34" s="617">
        <v>0</v>
      </c>
      <c r="U34" s="581">
        <v>0</v>
      </c>
      <c r="V34" s="617">
        <v>0</v>
      </c>
      <c r="W34" s="581">
        <v>0</v>
      </c>
      <c r="X34" s="617">
        <v>0</v>
      </c>
      <c r="Y34" s="581">
        <v>0</v>
      </c>
      <c r="Z34" s="626">
        <v>0</v>
      </c>
    </row>
    <row r="35" spans="1:26" s="74" customFormat="1">
      <c r="A35" s="576"/>
      <c r="B35" s="577" t="s">
        <v>501</v>
      </c>
      <c r="C35" s="578">
        <v>2041.4166666666667</v>
      </c>
      <c r="D35" s="579"/>
      <c r="E35" s="579"/>
      <c r="F35" s="579">
        <v>299.83333333333331</v>
      </c>
      <c r="G35" s="579"/>
      <c r="H35" s="579"/>
      <c r="I35" s="578">
        <v>2341.25</v>
      </c>
      <c r="J35" s="578"/>
      <c r="K35" s="579"/>
      <c r="L35" s="579">
        <v>0</v>
      </c>
      <c r="M35" s="579">
        <v>0</v>
      </c>
      <c r="N35" s="578">
        <v>0</v>
      </c>
      <c r="O35" s="578"/>
      <c r="P35" s="579"/>
      <c r="Q35" s="579"/>
      <c r="R35" s="578"/>
      <c r="S35" s="578"/>
      <c r="T35" s="616"/>
      <c r="U35" s="578"/>
      <c r="V35" s="616"/>
      <c r="W35" s="578"/>
      <c r="X35" s="616"/>
      <c r="Y35" s="578"/>
      <c r="Z35" s="625"/>
    </row>
    <row r="36" spans="1:26" s="74" customFormat="1">
      <c r="A36" s="576"/>
      <c r="B36" s="577" t="s">
        <v>503</v>
      </c>
      <c r="C36" s="578">
        <v>2068.125</v>
      </c>
      <c r="D36" s="579"/>
      <c r="E36" s="579"/>
      <c r="F36" s="579">
        <v>294.79166666666669</v>
      </c>
      <c r="G36" s="579"/>
      <c r="H36" s="579"/>
      <c r="I36" s="578">
        <v>2362.9166666666665</v>
      </c>
      <c r="J36" s="578"/>
      <c r="K36" s="579"/>
      <c r="L36" s="579">
        <v>0</v>
      </c>
      <c r="M36" s="579">
        <v>0</v>
      </c>
      <c r="N36" s="578">
        <v>0</v>
      </c>
      <c r="O36" s="578"/>
      <c r="P36" s="579"/>
      <c r="Q36" s="579"/>
      <c r="R36" s="578"/>
      <c r="S36" s="578"/>
      <c r="T36" s="616"/>
      <c r="U36" s="578"/>
      <c r="V36" s="616"/>
      <c r="W36" s="578"/>
      <c r="X36" s="616"/>
      <c r="Y36" s="578"/>
      <c r="Z36" s="625"/>
    </row>
    <row r="37" spans="1:26" s="74" customFormat="1">
      <c r="A37" s="576"/>
      <c r="B37" s="580" t="s">
        <v>505</v>
      </c>
      <c r="C37" s="581">
        <v>1.3083234681797733</v>
      </c>
      <c r="D37" s="582">
        <v>0</v>
      </c>
      <c r="E37" s="582">
        <v>0</v>
      </c>
      <c r="F37" s="582">
        <v>-1.6814897165091591</v>
      </c>
      <c r="G37" s="582">
        <v>0</v>
      </c>
      <c r="H37" s="582">
        <v>0</v>
      </c>
      <c r="I37" s="581">
        <v>0.9254315714539888</v>
      </c>
      <c r="J37" s="581">
        <v>0</v>
      </c>
      <c r="K37" s="582">
        <v>0</v>
      </c>
      <c r="L37" s="582">
        <v>0</v>
      </c>
      <c r="M37" s="582">
        <v>0</v>
      </c>
      <c r="N37" s="581">
        <v>0</v>
      </c>
      <c r="O37" s="581">
        <v>0</v>
      </c>
      <c r="P37" s="582">
        <v>0</v>
      </c>
      <c r="Q37" s="582">
        <v>0</v>
      </c>
      <c r="R37" s="581">
        <v>0</v>
      </c>
      <c r="S37" s="581">
        <v>0</v>
      </c>
      <c r="T37" s="617">
        <v>0</v>
      </c>
      <c r="U37" s="581">
        <v>0</v>
      </c>
      <c r="V37" s="617">
        <v>0</v>
      </c>
      <c r="W37" s="581">
        <v>0</v>
      </c>
      <c r="X37" s="617">
        <v>0</v>
      </c>
      <c r="Y37" s="581">
        <v>0</v>
      </c>
      <c r="Z37" s="626">
        <v>0</v>
      </c>
    </row>
    <row r="38" spans="1:26" s="74" customFormat="1">
      <c r="A38" s="576"/>
      <c r="B38" s="577" t="s">
        <v>67</v>
      </c>
      <c r="C38" s="578">
        <v>18771.95</v>
      </c>
      <c r="D38" s="579"/>
      <c r="E38" s="579"/>
      <c r="F38" s="579">
        <v>3004.4666666666667</v>
      </c>
      <c r="G38" s="579"/>
      <c r="H38" s="579"/>
      <c r="I38" s="578">
        <v>21776.416666666668</v>
      </c>
      <c r="J38" s="578"/>
      <c r="K38" s="579"/>
      <c r="L38" s="579">
        <v>7718.1</v>
      </c>
      <c r="M38" s="579">
        <v>2103.6</v>
      </c>
      <c r="N38" s="578">
        <v>9821.7000000000007</v>
      </c>
      <c r="O38" s="578"/>
      <c r="P38" s="579"/>
      <c r="Q38" s="579"/>
      <c r="R38" s="578"/>
      <c r="S38" s="578"/>
      <c r="T38" s="616"/>
      <c r="U38" s="578"/>
      <c r="V38" s="616"/>
      <c r="W38" s="578"/>
      <c r="X38" s="616"/>
      <c r="Y38" s="578"/>
      <c r="Z38" s="625"/>
    </row>
    <row r="39" spans="1:26" s="74" customFormat="1">
      <c r="A39" s="576"/>
      <c r="B39" s="577" t="s">
        <v>507</v>
      </c>
      <c r="C39" s="578">
        <v>18905.058333333334</v>
      </c>
      <c r="D39" s="579"/>
      <c r="E39" s="579"/>
      <c r="F39" s="579">
        <v>3514.2249999999999</v>
      </c>
      <c r="G39" s="579"/>
      <c r="H39" s="579"/>
      <c r="I39" s="578">
        <v>22419.283333333333</v>
      </c>
      <c r="J39" s="578"/>
      <c r="K39" s="579"/>
      <c r="L39" s="579">
        <v>7478.9</v>
      </c>
      <c r="M39" s="579">
        <v>2163.6666666666665</v>
      </c>
      <c r="N39" s="578">
        <v>9642.5666666666657</v>
      </c>
      <c r="O39" s="578"/>
      <c r="P39" s="579"/>
      <c r="Q39" s="579"/>
      <c r="R39" s="578"/>
      <c r="S39" s="578"/>
      <c r="T39" s="616"/>
      <c r="U39" s="578"/>
      <c r="V39" s="616"/>
      <c r="W39" s="578"/>
      <c r="X39" s="616"/>
      <c r="Y39" s="578"/>
      <c r="Z39" s="625"/>
    </row>
    <row r="40" spans="1:26" s="74" customFormat="1">
      <c r="A40" s="604"/>
      <c r="B40" s="608" t="s">
        <v>509</v>
      </c>
      <c r="C40" s="578">
        <v>0.70908101360451936</v>
      </c>
      <c r="D40" s="579">
        <v>0</v>
      </c>
      <c r="E40" s="579">
        <v>0</v>
      </c>
      <c r="F40" s="579">
        <v>16.966682938735655</v>
      </c>
      <c r="G40" s="579">
        <v>0</v>
      </c>
      <c r="H40" s="579">
        <v>0</v>
      </c>
      <c r="I40" s="578">
        <v>2.9521232832153972</v>
      </c>
      <c r="J40" s="578">
        <v>0</v>
      </c>
      <c r="K40" s="579">
        <v>0</v>
      </c>
      <c r="L40" s="579">
        <v>-3.0992083543877471</v>
      </c>
      <c r="M40" s="579">
        <v>2.8554224504024819</v>
      </c>
      <c r="N40" s="578">
        <v>-1.823852625648666</v>
      </c>
      <c r="O40" s="578">
        <v>0</v>
      </c>
      <c r="P40" s="579">
        <v>0</v>
      </c>
      <c r="Q40" s="579">
        <v>0</v>
      </c>
      <c r="R40" s="578">
        <v>0</v>
      </c>
      <c r="S40" s="578">
        <v>0</v>
      </c>
      <c r="T40" s="616">
        <v>0</v>
      </c>
      <c r="U40" s="578">
        <v>0</v>
      </c>
      <c r="V40" s="616">
        <v>0</v>
      </c>
      <c r="W40" s="578">
        <v>0</v>
      </c>
      <c r="X40" s="616">
        <v>0</v>
      </c>
      <c r="Y40" s="578">
        <v>0</v>
      </c>
      <c r="Z40" s="625">
        <v>0</v>
      </c>
    </row>
    <row r="41" spans="1:26" s="74" customFormat="1">
      <c r="A41" s="583" t="s">
        <v>712</v>
      </c>
      <c r="B41" s="573" t="s">
        <v>499</v>
      </c>
      <c r="C41" s="570">
        <v>130095.23333333334</v>
      </c>
      <c r="D41" s="574">
        <v>44970.233333333337</v>
      </c>
      <c r="E41" s="574">
        <v>28899.500000000004</v>
      </c>
      <c r="F41" s="574">
        <v>6567.1333333333332</v>
      </c>
      <c r="G41" s="574"/>
      <c r="H41" s="574">
        <v>858.26666666666665</v>
      </c>
      <c r="I41" s="570">
        <v>211390.36666666667</v>
      </c>
      <c r="J41" s="570">
        <v>65323</v>
      </c>
      <c r="K41" s="574">
        <v>169126.56666666665</v>
      </c>
      <c r="L41" s="574">
        <v>21579.066666666666</v>
      </c>
      <c r="M41" s="574">
        <v>1474.8</v>
      </c>
      <c r="N41" s="570">
        <v>257503.43333333329</v>
      </c>
      <c r="O41" s="570"/>
      <c r="P41" s="574"/>
      <c r="Q41" s="574"/>
      <c r="R41" s="570"/>
      <c r="S41" s="570"/>
      <c r="T41" s="615"/>
      <c r="U41" s="570"/>
      <c r="V41" s="615"/>
      <c r="W41" s="570"/>
      <c r="X41" s="615"/>
      <c r="Y41" s="570"/>
      <c r="Z41" s="624"/>
    </row>
    <row r="42" spans="1:26" s="74" customFormat="1">
      <c r="A42" s="584"/>
      <c r="B42" s="577" t="s">
        <v>497</v>
      </c>
      <c r="C42" s="578">
        <v>132985.93333333332</v>
      </c>
      <c r="D42" s="579">
        <v>43865.066666666666</v>
      </c>
      <c r="E42" s="579">
        <v>28427.399999999998</v>
      </c>
      <c r="F42" s="579">
        <v>7399</v>
      </c>
      <c r="G42" s="579"/>
      <c r="H42" s="579">
        <v>892.8</v>
      </c>
      <c r="I42" s="578">
        <v>213570.19999999998</v>
      </c>
      <c r="J42" s="578">
        <v>69166.833333333328</v>
      </c>
      <c r="K42" s="579">
        <v>184128.43333333332</v>
      </c>
      <c r="L42" s="579">
        <v>23637.233333333337</v>
      </c>
      <c r="M42" s="579">
        <v>1549.8000000000002</v>
      </c>
      <c r="N42" s="578">
        <v>278482.3</v>
      </c>
      <c r="O42" s="578"/>
      <c r="P42" s="579"/>
      <c r="Q42" s="579"/>
      <c r="R42" s="578"/>
      <c r="S42" s="578"/>
      <c r="T42" s="616"/>
      <c r="U42" s="578"/>
      <c r="V42" s="616"/>
      <c r="W42" s="578"/>
      <c r="X42" s="616"/>
      <c r="Y42" s="578"/>
      <c r="Z42" s="625"/>
    </row>
    <row r="43" spans="1:26" s="74" customFormat="1">
      <c r="A43" s="584"/>
      <c r="B43" s="580" t="s">
        <v>511</v>
      </c>
      <c r="C43" s="581">
        <v>2.2219876362367228</v>
      </c>
      <c r="D43" s="582">
        <v>-2.4575515507665546</v>
      </c>
      <c r="E43" s="582">
        <v>-1.6335922766830073</v>
      </c>
      <c r="F43" s="582">
        <v>12.667120103139881</v>
      </c>
      <c r="G43" s="582">
        <v>0</v>
      </c>
      <c r="H43" s="582">
        <v>4.0236134845424854</v>
      </c>
      <c r="I43" s="581">
        <v>1.0311885861717669</v>
      </c>
      <c r="J43" s="581">
        <v>5.8843490552077045</v>
      </c>
      <c r="K43" s="582">
        <v>8.8702011531009255</v>
      </c>
      <c r="L43" s="582">
        <v>9.537792799194305</v>
      </c>
      <c r="M43" s="582">
        <v>5.0854353132628312</v>
      </c>
      <c r="N43" s="581">
        <v>8.147024059096724</v>
      </c>
      <c r="O43" s="581">
        <v>0</v>
      </c>
      <c r="P43" s="582">
        <v>0</v>
      </c>
      <c r="Q43" s="582">
        <v>0</v>
      </c>
      <c r="R43" s="581">
        <v>0</v>
      </c>
      <c r="S43" s="581">
        <v>0</v>
      </c>
      <c r="T43" s="617">
        <v>0</v>
      </c>
      <c r="U43" s="581">
        <v>0</v>
      </c>
      <c r="V43" s="617">
        <v>0</v>
      </c>
      <c r="W43" s="581">
        <v>0</v>
      </c>
      <c r="X43" s="617">
        <v>0</v>
      </c>
      <c r="Y43" s="581">
        <v>0</v>
      </c>
      <c r="Z43" s="626">
        <v>0</v>
      </c>
    </row>
    <row r="44" spans="1:26" s="74" customFormat="1">
      <c r="A44" s="584"/>
      <c r="B44" s="577" t="s">
        <v>495</v>
      </c>
      <c r="C44" s="578">
        <v>0</v>
      </c>
      <c r="D44" s="579">
        <v>0</v>
      </c>
      <c r="E44" s="579">
        <v>0</v>
      </c>
      <c r="F44" s="579">
        <v>0</v>
      </c>
      <c r="G44" s="579"/>
      <c r="H44" s="579">
        <v>0</v>
      </c>
      <c r="I44" s="578">
        <v>0</v>
      </c>
      <c r="J44" s="578">
        <v>10608.951111111111</v>
      </c>
      <c r="K44" s="579">
        <v>28117.987777777777</v>
      </c>
      <c r="L44" s="579">
        <v>4550.1422222222227</v>
      </c>
      <c r="M44" s="579">
        <v>238.9711111111111</v>
      </c>
      <c r="N44" s="578">
        <v>43516.052222222221</v>
      </c>
      <c r="O44" s="578"/>
      <c r="P44" s="579"/>
      <c r="Q44" s="579"/>
      <c r="R44" s="578"/>
      <c r="S44" s="578"/>
      <c r="T44" s="616"/>
      <c r="U44" s="578"/>
      <c r="V44" s="616"/>
      <c r="W44" s="578"/>
      <c r="X44" s="616"/>
      <c r="Y44" s="578"/>
      <c r="Z44" s="625"/>
    </row>
    <row r="45" spans="1:26" s="74" customFormat="1">
      <c r="A45" s="584"/>
      <c r="B45" s="577" t="s">
        <v>493</v>
      </c>
      <c r="C45" s="578">
        <v>0</v>
      </c>
      <c r="D45" s="579">
        <v>0</v>
      </c>
      <c r="E45" s="579">
        <v>0</v>
      </c>
      <c r="F45" s="579">
        <v>0</v>
      </c>
      <c r="G45" s="579"/>
      <c r="H45" s="579">
        <v>0</v>
      </c>
      <c r="I45" s="578">
        <v>0</v>
      </c>
      <c r="J45" s="578">
        <v>10852.695555555554</v>
      </c>
      <c r="K45" s="579">
        <v>28767.931111111113</v>
      </c>
      <c r="L45" s="579">
        <v>4035.1366666666663</v>
      </c>
      <c r="M45" s="579">
        <v>229.1911111111111</v>
      </c>
      <c r="N45" s="578">
        <v>43884.95444444444</v>
      </c>
      <c r="O45" s="578"/>
      <c r="P45" s="579"/>
      <c r="Q45" s="579"/>
      <c r="R45" s="578"/>
      <c r="S45" s="578"/>
      <c r="T45" s="616"/>
      <c r="U45" s="578"/>
      <c r="V45" s="616"/>
      <c r="W45" s="578"/>
      <c r="X45" s="616"/>
      <c r="Y45" s="578"/>
      <c r="Z45" s="625"/>
    </row>
    <row r="46" spans="1:26" s="74" customFormat="1">
      <c r="A46" s="584"/>
      <c r="B46" s="580" t="s">
        <v>513</v>
      </c>
      <c r="C46" s="581">
        <v>0</v>
      </c>
      <c r="D46" s="582">
        <v>0</v>
      </c>
      <c r="E46" s="582">
        <v>0</v>
      </c>
      <c r="F46" s="582">
        <v>0</v>
      </c>
      <c r="G46" s="582">
        <v>0</v>
      </c>
      <c r="H46" s="582">
        <v>0</v>
      </c>
      <c r="I46" s="581">
        <v>0</v>
      </c>
      <c r="J46" s="581">
        <v>2.2975357496855739</v>
      </c>
      <c r="K46" s="582">
        <v>2.3114859372938485</v>
      </c>
      <c r="L46" s="582">
        <v>-11.318449630878465</v>
      </c>
      <c r="M46" s="582">
        <v>-4.0925448915257086</v>
      </c>
      <c r="N46" s="581">
        <v>0.84773825607697417</v>
      </c>
      <c r="O46" s="581">
        <v>0</v>
      </c>
      <c r="P46" s="582">
        <v>0</v>
      </c>
      <c r="Q46" s="582">
        <v>0</v>
      </c>
      <c r="R46" s="581">
        <v>0</v>
      </c>
      <c r="S46" s="581">
        <v>0</v>
      </c>
      <c r="T46" s="617">
        <v>0</v>
      </c>
      <c r="U46" s="581">
        <v>0</v>
      </c>
      <c r="V46" s="617">
        <v>0</v>
      </c>
      <c r="W46" s="581">
        <v>0</v>
      </c>
      <c r="X46" s="617">
        <v>0</v>
      </c>
      <c r="Y46" s="581">
        <v>0</v>
      </c>
      <c r="Z46" s="626">
        <v>0</v>
      </c>
    </row>
    <row r="47" spans="1:26" s="74" customFormat="1">
      <c r="A47" s="584"/>
      <c r="B47" s="577" t="s">
        <v>501</v>
      </c>
      <c r="C47" s="578">
        <v>30188.5</v>
      </c>
      <c r="D47" s="579">
        <v>8239.7916666666661</v>
      </c>
      <c r="E47" s="579">
        <v>4007.5625</v>
      </c>
      <c r="F47" s="579">
        <v>666.54166666666663</v>
      </c>
      <c r="G47" s="579"/>
      <c r="H47" s="579">
        <v>0</v>
      </c>
      <c r="I47" s="578">
        <v>43102.395833333328</v>
      </c>
      <c r="J47" s="578">
        <v>0</v>
      </c>
      <c r="K47" s="579">
        <v>0</v>
      </c>
      <c r="L47" s="579">
        <v>0</v>
      </c>
      <c r="M47" s="579">
        <v>0</v>
      </c>
      <c r="N47" s="578">
        <v>0</v>
      </c>
      <c r="O47" s="578"/>
      <c r="P47" s="579"/>
      <c r="Q47" s="579"/>
      <c r="R47" s="578"/>
      <c r="S47" s="578"/>
      <c r="T47" s="616"/>
      <c r="U47" s="578"/>
      <c r="V47" s="616"/>
      <c r="W47" s="578"/>
      <c r="X47" s="616"/>
      <c r="Y47" s="578"/>
      <c r="Z47" s="625"/>
    </row>
    <row r="48" spans="1:26" s="74" customFormat="1">
      <c r="A48" s="584"/>
      <c r="B48" s="577" t="s">
        <v>503</v>
      </c>
      <c r="C48" s="578">
        <v>32028.666666666668</v>
      </c>
      <c r="D48" s="579">
        <v>8022.1666666666661</v>
      </c>
      <c r="E48" s="579">
        <v>4228.375</v>
      </c>
      <c r="F48" s="579">
        <v>785</v>
      </c>
      <c r="G48" s="579"/>
      <c r="H48" s="579">
        <v>0</v>
      </c>
      <c r="I48" s="578">
        <v>45064.208333333336</v>
      </c>
      <c r="J48" s="578">
        <v>0</v>
      </c>
      <c r="K48" s="579">
        <v>0</v>
      </c>
      <c r="L48" s="579">
        <v>0</v>
      </c>
      <c r="M48" s="579">
        <v>0</v>
      </c>
      <c r="N48" s="578">
        <v>0</v>
      </c>
      <c r="O48" s="578"/>
      <c r="P48" s="579"/>
      <c r="Q48" s="579"/>
      <c r="R48" s="578"/>
      <c r="S48" s="578"/>
      <c r="T48" s="616"/>
      <c r="U48" s="578"/>
      <c r="V48" s="616"/>
      <c r="W48" s="578"/>
      <c r="X48" s="616"/>
      <c r="Y48" s="578"/>
      <c r="Z48" s="625"/>
    </row>
    <row r="49" spans="1:26" s="74" customFormat="1">
      <c r="A49" s="584"/>
      <c r="B49" s="580" t="s">
        <v>505</v>
      </c>
      <c r="C49" s="581">
        <v>6.0955882758887254</v>
      </c>
      <c r="D49" s="582">
        <v>-2.6411468736567976</v>
      </c>
      <c r="E49" s="582">
        <v>5.5098953540961624</v>
      </c>
      <c r="F49" s="582">
        <v>17.772082265424775</v>
      </c>
      <c r="G49" s="582">
        <v>0</v>
      </c>
      <c r="H49" s="582">
        <v>0</v>
      </c>
      <c r="I49" s="581">
        <v>4.5515161328522789</v>
      </c>
      <c r="J49" s="581">
        <v>0</v>
      </c>
      <c r="K49" s="582">
        <v>0</v>
      </c>
      <c r="L49" s="582">
        <v>0</v>
      </c>
      <c r="M49" s="582">
        <v>0</v>
      </c>
      <c r="N49" s="581">
        <v>0</v>
      </c>
      <c r="O49" s="581">
        <v>0</v>
      </c>
      <c r="P49" s="582">
        <v>0</v>
      </c>
      <c r="Q49" s="582">
        <v>0</v>
      </c>
      <c r="R49" s="581">
        <v>0</v>
      </c>
      <c r="S49" s="581">
        <v>0</v>
      </c>
      <c r="T49" s="617">
        <v>0</v>
      </c>
      <c r="U49" s="581">
        <v>0</v>
      </c>
      <c r="V49" s="617">
        <v>0</v>
      </c>
      <c r="W49" s="581">
        <v>0</v>
      </c>
      <c r="X49" s="617">
        <v>0</v>
      </c>
      <c r="Y49" s="581">
        <v>0</v>
      </c>
      <c r="Z49" s="626">
        <v>0</v>
      </c>
    </row>
    <row r="50" spans="1:26" s="74" customFormat="1">
      <c r="A50" s="584"/>
      <c r="B50" s="577" t="s">
        <v>67</v>
      </c>
      <c r="C50" s="578">
        <v>160283.73333333334</v>
      </c>
      <c r="D50" s="579">
        <v>53210.024999999994</v>
      </c>
      <c r="E50" s="579">
        <v>32907.0625</v>
      </c>
      <c r="F50" s="579">
        <v>7233.6750000000002</v>
      </c>
      <c r="G50" s="579"/>
      <c r="H50" s="579">
        <v>858.26666666666665</v>
      </c>
      <c r="I50" s="578">
        <v>254492.76249999998</v>
      </c>
      <c r="J50" s="578">
        <v>75931.951111111121</v>
      </c>
      <c r="K50" s="579">
        <v>197244.55444444442</v>
      </c>
      <c r="L50" s="579">
        <v>26129.208888888887</v>
      </c>
      <c r="M50" s="579">
        <v>1713.7711111111112</v>
      </c>
      <c r="N50" s="578">
        <v>301019.48555555556</v>
      </c>
      <c r="O50" s="578"/>
      <c r="P50" s="579"/>
      <c r="Q50" s="579"/>
      <c r="R50" s="578"/>
      <c r="S50" s="578"/>
      <c r="T50" s="616"/>
      <c r="U50" s="578"/>
      <c r="V50" s="616"/>
      <c r="W50" s="578"/>
      <c r="X50" s="616"/>
      <c r="Y50" s="578"/>
      <c r="Z50" s="625"/>
    </row>
    <row r="51" spans="1:26" s="74" customFormat="1">
      <c r="A51" s="584"/>
      <c r="B51" s="585" t="s">
        <v>507</v>
      </c>
      <c r="C51" s="586">
        <v>165014.6</v>
      </c>
      <c r="D51" s="586">
        <v>51887.23333333333</v>
      </c>
      <c r="E51" s="586">
        <v>32655.775000000001</v>
      </c>
      <c r="F51" s="586">
        <v>8184</v>
      </c>
      <c r="G51" s="586"/>
      <c r="H51" s="586">
        <v>892.8</v>
      </c>
      <c r="I51" s="578">
        <v>258634.40833333333</v>
      </c>
      <c r="J51" s="578">
        <v>80019.52888888889</v>
      </c>
      <c r="K51" s="586">
        <v>212896.36444444439</v>
      </c>
      <c r="L51" s="586">
        <v>27672.37</v>
      </c>
      <c r="M51" s="586">
        <v>1778.991111111111</v>
      </c>
      <c r="N51" s="578">
        <v>322367.25444444444</v>
      </c>
      <c r="O51" s="578"/>
      <c r="P51" s="586"/>
      <c r="Q51" s="586"/>
      <c r="R51" s="578"/>
      <c r="S51" s="578"/>
      <c r="T51" s="616"/>
      <c r="U51" s="578"/>
      <c r="V51" s="616"/>
      <c r="W51" s="578"/>
      <c r="X51" s="616"/>
      <c r="Y51" s="578"/>
      <c r="Z51" s="625"/>
    </row>
    <row r="52" spans="1:26" s="74" customFormat="1">
      <c r="A52" s="605"/>
      <c r="B52" s="609" t="s">
        <v>509</v>
      </c>
      <c r="C52" s="586">
        <v>2.9515575712403352</v>
      </c>
      <c r="D52" s="586">
        <v>-2.4859820431707451</v>
      </c>
      <c r="E52" s="586">
        <v>-0.76362786863761711</v>
      </c>
      <c r="F52" s="586">
        <v>13.137513089819489</v>
      </c>
      <c r="G52" s="586">
        <v>0</v>
      </c>
      <c r="H52" s="586">
        <v>4.0236134845424854</v>
      </c>
      <c r="I52" s="578">
        <v>1.6274120303650226</v>
      </c>
      <c r="J52" s="578">
        <v>5.3832118337067651</v>
      </c>
      <c r="K52" s="586">
        <v>7.9352304777612668</v>
      </c>
      <c r="L52" s="586">
        <v>5.9058853165941896</v>
      </c>
      <c r="M52" s="586">
        <v>3.8056423974678206</v>
      </c>
      <c r="N52" s="578">
        <v>7.0918229261769383</v>
      </c>
      <c r="O52" s="578">
        <v>0</v>
      </c>
      <c r="P52" s="586">
        <v>0</v>
      </c>
      <c r="Q52" s="586">
        <v>0</v>
      </c>
      <c r="R52" s="578">
        <v>0</v>
      </c>
      <c r="S52" s="578">
        <v>0</v>
      </c>
      <c r="T52" s="616">
        <v>0</v>
      </c>
      <c r="U52" s="578">
        <v>0</v>
      </c>
      <c r="V52" s="616">
        <v>0</v>
      </c>
      <c r="W52" s="578">
        <v>0</v>
      </c>
      <c r="X52" s="616">
        <v>0</v>
      </c>
      <c r="Y52" s="578">
        <v>0</v>
      </c>
      <c r="Z52" s="625">
        <v>0</v>
      </c>
    </row>
    <row r="53" spans="1:26" s="74" customFormat="1">
      <c r="A53" s="575" t="s">
        <v>561</v>
      </c>
      <c r="B53" s="573" t="s">
        <v>499</v>
      </c>
      <c r="C53" s="570">
        <v>42450.223333333328</v>
      </c>
      <c r="D53" s="574">
        <v>12594.283333333333</v>
      </c>
      <c r="E53" s="574">
        <v>31384.76666666667</v>
      </c>
      <c r="F53" s="574">
        <v>35345.633333333331</v>
      </c>
      <c r="G53" s="574">
        <v>16274.1</v>
      </c>
      <c r="H53" s="574">
        <v>9809.5666666666657</v>
      </c>
      <c r="I53" s="570">
        <v>147858.5733333333</v>
      </c>
      <c r="J53" s="570">
        <v>3178.1666666666665</v>
      </c>
      <c r="K53" s="574">
        <v>16144.933333333332</v>
      </c>
      <c r="L53" s="574">
        <v>24952.483333333334</v>
      </c>
      <c r="M53" s="574">
        <v>5097.8333333333339</v>
      </c>
      <c r="N53" s="570">
        <v>49373.416666666664</v>
      </c>
      <c r="O53" s="570">
        <v>64767.3511111111</v>
      </c>
      <c r="P53" s="574">
        <v>4287.2422222222231</v>
      </c>
      <c r="Q53" s="574"/>
      <c r="R53" s="570">
        <v>69054.593333333323</v>
      </c>
      <c r="S53" s="570"/>
      <c r="T53" s="615"/>
      <c r="U53" s="570"/>
      <c r="V53" s="615"/>
      <c r="W53" s="570"/>
      <c r="X53" s="615"/>
      <c r="Y53" s="570"/>
      <c r="Z53" s="624"/>
    </row>
    <row r="54" spans="1:26" s="74" customFormat="1">
      <c r="A54" s="576"/>
      <c r="B54" s="577" t="s">
        <v>497</v>
      </c>
      <c r="C54" s="578">
        <v>43268.526666666672</v>
      </c>
      <c r="D54" s="579">
        <v>12807.266666666666</v>
      </c>
      <c r="E54" s="579">
        <v>32486.133333333331</v>
      </c>
      <c r="F54" s="579">
        <v>36658.33</v>
      </c>
      <c r="G54" s="579">
        <v>16893.333333333332</v>
      </c>
      <c r="H54" s="579">
        <v>9843.7333333333336</v>
      </c>
      <c r="I54" s="578">
        <v>151957.32333333333</v>
      </c>
      <c r="J54" s="578">
        <v>3503.7333333333331</v>
      </c>
      <c r="K54" s="579">
        <v>16582.099999999999</v>
      </c>
      <c r="L54" s="579">
        <v>26468.216666666671</v>
      </c>
      <c r="M54" s="579">
        <v>5904.4333333333334</v>
      </c>
      <c r="N54" s="578">
        <v>52458.483333333337</v>
      </c>
      <c r="O54" s="578">
        <v>68099.757777777777</v>
      </c>
      <c r="P54" s="579">
        <v>4322.1777777777779</v>
      </c>
      <c r="Q54" s="579"/>
      <c r="R54" s="578">
        <v>72421.935555555552</v>
      </c>
      <c r="S54" s="578"/>
      <c r="T54" s="616"/>
      <c r="U54" s="578"/>
      <c r="V54" s="616"/>
      <c r="W54" s="578"/>
      <c r="X54" s="616"/>
      <c r="Y54" s="578"/>
      <c r="Z54" s="625"/>
    </row>
    <row r="55" spans="1:26" s="74" customFormat="1">
      <c r="A55" s="576"/>
      <c r="B55" s="580" t="s">
        <v>511</v>
      </c>
      <c r="C55" s="581">
        <v>1.9276773337745559</v>
      </c>
      <c r="D55" s="582">
        <v>1.6911111787490904</v>
      </c>
      <c r="E55" s="582">
        <v>3.509239620495276</v>
      </c>
      <c r="F55" s="582">
        <v>3.7138863923785124</v>
      </c>
      <c r="G55" s="582">
        <v>3.8050235240863199</v>
      </c>
      <c r="H55" s="582">
        <v>0.3482994491771762</v>
      </c>
      <c r="I55" s="581">
        <v>2.7720746302345152</v>
      </c>
      <c r="J55" s="581">
        <v>10.243851276941632</v>
      </c>
      <c r="K55" s="582">
        <v>2.7077638392230341</v>
      </c>
      <c r="L55" s="582">
        <v>6.0744788928824205</v>
      </c>
      <c r="M55" s="582">
        <v>15.822408212639344</v>
      </c>
      <c r="N55" s="581">
        <v>6.2484366587282647</v>
      </c>
      <c r="O55" s="581">
        <v>5.1451952403453918</v>
      </c>
      <c r="P55" s="582">
        <v>0.8148724458457719</v>
      </c>
      <c r="Q55" s="582">
        <v>0</v>
      </c>
      <c r="R55" s="581">
        <v>4.876347915000725</v>
      </c>
      <c r="S55" s="581">
        <v>0</v>
      </c>
      <c r="T55" s="617">
        <v>0</v>
      </c>
      <c r="U55" s="581">
        <v>0</v>
      </c>
      <c r="V55" s="617">
        <v>0</v>
      </c>
      <c r="W55" s="581">
        <v>0</v>
      </c>
      <c r="X55" s="617">
        <v>0</v>
      </c>
      <c r="Y55" s="581">
        <v>0</v>
      </c>
      <c r="Z55" s="626">
        <v>0</v>
      </c>
    </row>
    <row r="56" spans="1:26" s="74" customFormat="1">
      <c r="A56" s="576"/>
      <c r="B56" s="577" t="s">
        <v>495</v>
      </c>
      <c r="C56" s="578">
        <v>0</v>
      </c>
      <c r="D56" s="579">
        <v>0</v>
      </c>
      <c r="E56" s="579">
        <v>0</v>
      </c>
      <c r="F56" s="579">
        <v>0</v>
      </c>
      <c r="G56" s="579">
        <v>0</v>
      </c>
      <c r="H56" s="579">
        <v>0</v>
      </c>
      <c r="I56" s="578">
        <v>0</v>
      </c>
      <c r="J56" s="578">
        <v>0</v>
      </c>
      <c r="K56" s="579">
        <v>0</v>
      </c>
      <c r="L56" s="579">
        <v>0</v>
      </c>
      <c r="M56" s="579">
        <v>0</v>
      </c>
      <c r="N56" s="578">
        <v>0</v>
      </c>
      <c r="O56" s="578">
        <v>0</v>
      </c>
      <c r="P56" s="579">
        <v>0</v>
      </c>
      <c r="Q56" s="579"/>
      <c r="R56" s="578">
        <v>0</v>
      </c>
      <c r="S56" s="578"/>
      <c r="T56" s="616"/>
      <c r="U56" s="578"/>
      <c r="V56" s="616"/>
      <c r="W56" s="578"/>
      <c r="X56" s="616"/>
      <c r="Y56" s="578"/>
      <c r="Z56" s="625"/>
    </row>
    <row r="57" spans="1:26" s="74" customFormat="1">
      <c r="A57" s="576"/>
      <c r="B57" s="577" t="s">
        <v>493</v>
      </c>
      <c r="C57" s="578">
        <v>0</v>
      </c>
      <c r="D57" s="579">
        <v>0</v>
      </c>
      <c r="E57" s="579">
        <v>0</v>
      </c>
      <c r="F57" s="579">
        <v>0</v>
      </c>
      <c r="G57" s="579">
        <v>0</v>
      </c>
      <c r="H57" s="579">
        <v>0</v>
      </c>
      <c r="I57" s="578">
        <v>0</v>
      </c>
      <c r="J57" s="578">
        <v>0</v>
      </c>
      <c r="K57" s="579">
        <v>0</v>
      </c>
      <c r="L57" s="579">
        <v>0</v>
      </c>
      <c r="M57" s="579">
        <v>0</v>
      </c>
      <c r="N57" s="578">
        <v>0</v>
      </c>
      <c r="O57" s="578">
        <v>0</v>
      </c>
      <c r="P57" s="579">
        <v>0</v>
      </c>
      <c r="Q57" s="579"/>
      <c r="R57" s="578">
        <v>0</v>
      </c>
      <c r="S57" s="578"/>
      <c r="T57" s="616"/>
      <c r="U57" s="578"/>
      <c r="V57" s="616"/>
      <c r="W57" s="578"/>
      <c r="X57" s="616"/>
      <c r="Y57" s="578"/>
      <c r="Z57" s="625"/>
    </row>
    <row r="58" spans="1:26" s="74" customFormat="1">
      <c r="A58" s="576"/>
      <c r="B58" s="580" t="s">
        <v>513</v>
      </c>
      <c r="C58" s="581">
        <v>0</v>
      </c>
      <c r="D58" s="582">
        <v>0</v>
      </c>
      <c r="E58" s="582">
        <v>0</v>
      </c>
      <c r="F58" s="582">
        <v>0</v>
      </c>
      <c r="G58" s="582">
        <v>0</v>
      </c>
      <c r="H58" s="582">
        <v>0</v>
      </c>
      <c r="I58" s="581">
        <v>0</v>
      </c>
      <c r="J58" s="581">
        <v>0</v>
      </c>
      <c r="K58" s="582">
        <v>0</v>
      </c>
      <c r="L58" s="582">
        <v>0</v>
      </c>
      <c r="M58" s="582">
        <v>0</v>
      </c>
      <c r="N58" s="581">
        <v>0</v>
      </c>
      <c r="O58" s="581">
        <v>0</v>
      </c>
      <c r="P58" s="582">
        <v>0</v>
      </c>
      <c r="Q58" s="582">
        <v>0</v>
      </c>
      <c r="R58" s="581">
        <v>0</v>
      </c>
      <c r="S58" s="581">
        <v>0</v>
      </c>
      <c r="T58" s="617">
        <v>0</v>
      </c>
      <c r="U58" s="581">
        <v>0</v>
      </c>
      <c r="V58" s="617">
        <v>0</v>
      </c>
      <c r="W58" s="581">
        <v>0</v>
      </c>
      <c r="X58" s="617">
        <v>0</v>
      </c>
      <c r="Y58" s="581">
        <v>0</v>
      </c>
      <c r="Z58" s="626">
        <v>0</v>
      </c>
    </row>
    <row r="59" spans="1:26" s="74" customFormat="1">
      <c r="A59" s="576"/>
      <c r="B59" s="577" t="s">
        <v>501</v>
      </c>
      <c r="C59" s="578">
        <v>17378.462500000001</v>
      </c>
      <c r="D59" s="579">
        <v>8727.125</v>
      </c>
      <c r="E59" s="579">
        <v>3509.291666666667</v>
      </c>
      <c r="F59" s="579">
        <v>3896.333333333333</v>
      </c>
      <c r="G59" s="579">
        <v>1422.0833333333335</v>
      </c>
      <c r="H59" s="579">
        <v>26.25</v>
      </c>
      <c r="I59" s="578">
        <v>34959.545833333337</v>
      </c>
      <c r="J59" s="578">
        <v>0</v>
      </c>
      <c r="K59" s="579">
        <v>0</v>
      </c>
      <c r="L59" s="579">
        <v>0</v>
      </c>
      <c r="M59" s="579">
        <v>0</v>
      </c>
      <c r="N59" s="578">
        <v>0</v>
      </c>
      <c r="O59" s="578">
        <v>0</v>
      </c>
      <c r="P59" s="579">
        <v>0</v>
      </c>
      <c r="Q59" s="579"/>
      <c r="R59" s="578">
        <v>0</v>
      </c>
      <c r="S59" s="578"/>
      <c r="T59" s="616"/>
      <c r="U59" s="578"/>
      <c r="V59" s="616"/>
      <c r="W59" s="578"/>
      <c r="X59" s="616"/>
      <c r="Y59" s="578"/>
      <c r="Z59" s="625"/>
    </row>
    <row r="60" spans="1:26" s="74" customFormat="1">
      <c r="A60" s="576"/>
      <c r="B60" s="577" t="s">
        <v>503</v>
      </c>
      <c r="C60" s="578">
        <v>17813.954166666666</v>
      </c>
      <c r="D60" s="579">
        <v>9080.2083333333339</v>
      </c>
      <c r="E60" s="579">
        <v>4084.041666666667</v>
      </c>
      <c r="F60" s="579">
        <v>4240.2916666666661</v>
      </c>
      <c r="G60" s="579">
        <v>1647.9166666666667</v>
      </c>
      <c r="H60" s="579">
        <v>104.16666666666667</v>
      </c>
      <c r="I60" s="578">
        <v>36970.579166666663</v>
      </c>
      <c r="J60" s="578">
        <v>0</v>
      </c>
      <c r="K60" s="579">
        <v>0</v>
      </c>
      <c r="L60" s="579">
        <v>0</v>
      </c>
      <c r="M60" s="579">
        <v>0</v>
      </c>
      <c r="N60" s="578">
        <v>0</v>
      </c>
      <c r="O60" s="578">
        <v>0</v>
      </c>
      <c r="P60" s="579">
        <v>0</v>
      </c>
      <c r="Q60" s="579"/>
      <c r="R60" s="578">
        <v>0</v>
      </c>
      <c r="S60" s="578"/>
      <c r="T60" s="616"/>
      <c r="U60" s="578"/>
      <c r="V60" s="616"/>
      <c r="W60" s="578"/>
      <c r="X60" s="616"/>
      <c r="Y60" s="578"/>
      <c r="Z60" s="625"/>
    </row>
    <row r="61" spans="1:26" s="74" customFormat="1">
      <c r="A61" s="576"/>
      <c r="B61" s="580" t="s">
        <v>505</v>
      </c>
      <c r="C61" s="581">
        <v>2.5059274758435328</v>
      </c>
      <c r="D61" s="582">
        <v>4.0458150116256375</v>
      </c>
      <c r="E61" s="582">
        <v>16.377949016301958</v>
      </c>
      <c r="F61" s="582">
        <v>8.8277440328513919</v>
      </c>
      <c r="G61" s="582">
        <v>15.880457075886309</v>
      </c>
      <c r="H61" s="582">
        <v>296.82539682539687</v>
      </c>
      <c r="I61" s="581">
        <v>5.7524584069849078</v>
      </c>
      <c r="J61" s="581">
        <v>0</v>
      </c>
      <c r="K61" s="582">
        <v>0</v>
      </c>
      <c r="L61" s="582">
        <v>0</v>
      </c>
      <c r="M61" s="582">
        <v>0</v>
      </c>
      <c r="N61" s="581">
        <v>0</v>
      </c>
      <c r="O61" s="581">
        <v>0</v>
      </c>
      <c r="P61" s="582">
        <v>0</v>
      </c>
      <c r="Q61" s="582">
        <v>0</v>
      </c>
      <c r="R61" s="581">
        <v>0</v>
      </c>
      <c r="S61" s="581">
        <v>0</v>
      </c>
      <c r="T61" s="617">
        <v>0</v>
      </c>
      <c r="U61" s="581">
        <v>0</v>
      </c>
      <c r="V61" s="617">
        <v>0</v>
      </c>
      <c r="W61" s="581">
        <v>0</v>
      </c>
      <c r="X61" s="617">
        <v>0</v>
      </c>
      <c r="Y61" s="581">
        <v>0</v>
      </c>
      <c r="Z61" s="626">
        <v>0</v>
      </c>
    </row>
    <row r="62" spans="1:26" s="74" customFormat="1">
      <c r="A62" s="576"/>
      <c r="B62" s="577" t="s">
        <v>67</v>
      </c>
      <c r="C62" s="578">
        <v>59828.685833333329</v>
      </c>
      <c r="D62" s="579">
        <v>21321.408333333333</v>
      </c>
      <c r="E62" s="579">
        <v>34894.058333333334</v>
      </c>
      <c r="F62" s="579">
        <v>39241.966666666667</v>
      </c>
      <c r="G62" s="579">
        <v>17696.183333333334</v>
      </c>
      <c r="H62" s="579">
        <v>9835.8166666666657</v>
      </c>
      <c r="I62" s="578">
        <v>182818.11916666664</v>
      </c>
      <c r="J62" s="578">
        <v>3178.1666666666665</v>
      </c>
      <c r="K62" s="579">
        <v>16144.933333333332</v>
      </c>
      <c r="L62" s="579">
        <v>24952.483333333334</v>
      </c>
      <c r="M62" s="579">
        <v>5097.8333333333339</v>
      </c>
      <c r="N62" s="578">
        <v>49373.416666666664</v>
      </c>
      <c r="O62" s="578">
        <v>64767.3511111111</v>
      </c>
      <c r="P62" s="579">
        <v>4287.2422222222231</v>
      </c>
      <c r="Q62" s="579"/>
      <c r="R62" s="578">
        <v>69054.593333333323</v>
      </c>
      <c r="S62" s="578"/>
      <c r="T62" s="616"/>
      <c r="U62" s="578"/>
      <c r="V62" s="616"/>
      <c r="W62" s="578"/>
      <c r="X62" s="616"/>
      <c r="Y62" s="578"/>
      <c r="Z62" s="625"/>
    </row>
    <row r="63" spans="1:26" s="74" customFormat="1">
      <c r="A63" s="576"/>
      <c r="B63" s="577" t="s">
        <v>507</v>
      </c>
      <c r="C63" s="578">
        <v>61082.480833333335</v>
      </c>
      <c r="D63" s="579">
        <v>21887.474999999999</v>
      </c>
      <c r="E63" s="579">
        <v>36570.175000000003</v>
      </c>
      <c r="F63" s="579">
        <v>40898.621666666666</v>
      </c>
      <c r="G63" s="579">
        <v>18541.25</v>
      </c>
      <c r="H63" s="579">
        <v>9947.9000000000015</v>
      </c>
      <c r="I63" s="578">
        <v>188927.9025</v>
      </c>
      <c r="J63" s="578">
        <v>3503.7333333333331</v>
      </c>
      <c r="K63" s="579">
        <v>16582.099999999999</v>
      </c>
      <c r="L63" s="579">
        <v>26468.216666666671</v>
      </c>
      <c r="M63" s="579">
        <v>5904.4333333333334</v>
      </c>
      <c r="N63" s="578">
        <v>52458.483333333337</v>
      </c>
      <c r="O63" s="578">
        <v>68099.757777777777</v>
      </c>
      <c r="P63" s="579">
        <v>4322.1777777777779</v>
      </c>
      <c r="Q63" s="579"/>
      <c r="R63" s="578">
        <v>72421.935555555552</v>
      </c>
      <c r="S63" s="578"/>
      <c r="T63" s="616"/>
      <c r="U63" s="578"/>
      <c r="V63" s="616"/>
      <c r="W63" s="578"/>
      <c r="X63" s="616"/>
      <c r="Y63" s="578"/>
      <c r="Z63" s="625"/>
    </row>
    <row r="64" spans="1:26" s="74" customFormat="1">
      <c r="A64" s="604"/>
      <c r="B64" s="608" t="s">
        <v>509</v>
      </c>
      <c r="C64" s="578">
        <v>2.0956418857214114</v>
      </c>
      <c r="D64" s="579">
        <v>2.654921559668701</v>
      </c>
      <c r="E64" s="579">
        <v>4.8034443304220664</v>
      </c>
      <c r="F64" s="579">
        <v>4.2216411172053023</v>
      </c>
      <c r="G64" s="579">
        <v>4.7754176748093453</v>
      </c>
      <c r="H64" s="579">
        <v>1.1395427256506656</v>
      </c>
      <c r="I64" s="578">
        <v>3.3420009795436765</v>
      </c>
      <c r="J64" s="578">
        <v>10.243851276941632</v>
      </c>
      <c r="K64" s="579">
        <v>2.7077638392230341</v>
      </c>
      <c r="L64" s="579">
        <v>6.0744788928824205</v>
      </c>
      <c r="M64" s="579">
        <v>15.822408212639344</v>
      </c>
      <c r="N64" s="578">
        <v>6.2484366587282647</v>
      </c>
      <c r="O64" s="578">
        <v>5.1451952403453918</v>
      </c>
      <c r="P64" s="579">
        <v>0.8148724458457719</v>
      </c>
      <c r="Q64" s="579">
        <v>0</v>
      </c>
      <c r="R64" s="578">
        <v>4.876347915000725</v>
      </c>
      <c r="S64" s="578">
        <v>0</v>
      </c>
      <c r="T64" s="616">
        <v>0</v>
      </c>
      <c r="U64" s="578">
        <v>0</v>
      </c>
      <c r="V64" s="616">
        <v>0</v>
      </c>
      <c r="W64" s="578">
        <v>0</v>
      </c>
      <c r="X64" s="616">
        <v>0</v>
      </c>
      <c r="Y64" s="578">
        <v>0</v>
      </c>
      <c r="Z64" s="625">
        <v>0</v>
      </c>
    </row>
    <row r="65" spans="1:26" s="74" customFormat="1">
      <c r="A65" s="575" t="s">
        <v>175</v>
      </c>
      <c r="B65" s="573" t="s">
        <v>499</v>
      </c>
      <c r="C65" s="570">
        <v>29825.4</v>
      </c>
      <c r="D65" s="574"/>
      <c r="E65" s="574">
        <v>34027.366666666669</v>
      </c>
      <c r="F65" s="574">
        <v>16848.666666666668</v>
      </c>
      <c r="G65" s="574">
        <v>2037.8333333333333</v>
      </c>
      <c r="H65" s="574"/>
      <c r="I65" s="570">
        <v>82739.266666666663</v>
      </c>
      <c r="J65" s="570"/>
      <c r="K65" s="574">
        <v>15215.3</v>
      </c>
      <c r="L65" s="574">
        <v>23377.133333333331</v>
      </c>
      <c r="M65" s="574">
        <v>4830.2</v>
      </c>
      <c r="N65" s="570">
        <v>43422.633333333331</v>
      </c>
      <c r="O65" s="570">
        <v>2800.333333333333</v>
      </c>
      <c r="P65" s="574"/>
      <c r="Q65" s="574"/>
      <c r="R65" s="570">
        <v>2800.333333333333</v>
      </c>
      <c r="S65" s="570"/>
      <c r="T65" s="615"/>
      <c r="U65" s="570"/>
      <c r="V65" s="615"/>
      <c r="W65" s="570"/>
      <c r="X65" s="615"/>
      <c r="Y65" s="570"/>
      <c r="Z65" s="624"/>
    </row>
    <row r="66" spans="1:26" s="74" customFormat="1">
      <c r="A66" s="576"/>
      <c r="B66" s="577" t="s">
        <v>497</v>
      </c>
      <c r="C66" s="578">
        <v>30085.466666666667</v>
      </c>
      <c r="D66" s="579"/>
      <c r="E66" s="579">
        <v>34208.866666666669</v>
      </c>
      <c r="F66" s="579">
        <v>17048.400000000001</v>
      </c>
      <c r="G66" s="579">
        <v>2077.6</v>
      </c>
      <c r="H66" s="579"/>
      <c r="I66" s="578">
        <v>83420.333333333343</v>
      </c>
      <c r="J66" s="578"/>
      <c r="K66" s="579">
        <v>15828.433333333334</v>
      </c>
      <c r="L66" s="579">
        <v>24056.033333333333</v>
      </c>
      <c r="M66" s="579">
        <v>4960</v>
      </c>
      <c r="N66" s="578">
        <v>44844.466666666667</v>
      </c>
      <c r="O66" s="578">
        <v>2928.8666666666668</v>
      </c>
      <c r="P66" s="579"/>
      <c r="Q66" s="579"/>
      <c r="R66" s="578">
        <v>2928.8666666666668</v>
      </c>
      <c r="S66" s="578"/>
      <c r="T66" s="616"/>
      <c r="U66" s="578"/>
      <c r="V66" s="616"/>
      <c r="W66" s="578"/>
      <c r="X66" s="616"/>
      <c r="Y66" s="578"/>
      <c r="Z66" s="625"/>
    </row>
    <row r="67" spans="1:26" s="74" customFormat="1">
      <c r="A67" s="576"/>
      <c r="B67" s="580" t="s">
        <v>511</v>
      </c>
      <c r="C67" s="581">
        <v>0.87196371772605119</v>
      </c>
      <c r="D67" s="582">
        <v>0</v>
      </c>
      <c r="E67" s="582">
        <v>0.53339419937481691</v>
      </c>
      <c r="F67" s="582">
        <v>1.1854548332212256</v>
      </c>
      <c r="G67" s="582">
        <v>1.9514189907581574</v>
      </c>
      <c r="H67" s="582">
        <v>0</v>
      </c>
      <c r="I67" s="581">
        <v>0.82314805787501344</v>
      </c>
      <c r="J67" s="581">
        <v>0</v>
      </c>
      <c r="K67" s="582">
        <v>4.0297157028342196</v>
      </c>
      <c r="L67" s="582">
        <v>2.9041199804937654</v>
      </c>
      <c r="M67" s="582">
        <v>2.687259326735957</v>
      </c>
      <c r="N67" s="581">
        <v>3.2744060509150992</v>
      </c>
      <c r="O67" s="581">
        <v>4.58992977026546</v>
      </c>
      <c r="P67" s="582">
        <v>0</v>
      </c>
      <c r="Q67" s="582">
        <v>0</v>
      </c>
      <c r="R67" s="581">
        <v>4.58992977026546</v>
      </c>
      <c r="S67" s="581">
        <v>0</v>
      </c>
      <c r="T67" s="617">
        <v>0</v>
      </c>
      <c r="U67" s="581">
        <v>0</v>
      </c>
      <c r="V67" s="617">
        <v>0</v>
      </c>
      <c r="W67" s="581">
        <v>0</v>
      </c>
      <c r="X67" s="617">
        <v>0</v>
      </c>
      <c r="Y67" s="581">
        <v>0</v>
      </c>
      <c r="Z67" s="626">
        <v>0</v>
      </c>
    </row>
    <row r="68" spans="1:26" s="74" customFormat="1">
      <c r="A68" s="576"/>
      <c r="B68" s="577" t="s">
        <v>495</v>
      </c>
      <c r="C68" s="578">
        <v>0</v>
      </c>
      <c r="D68" s="579"/>
      <c r="E68" s="579">
        <v>0</v>
      </c>
      <c r="F68" s="579">
        <v>0</v>
      </c>
      <c r="G68" s="579">
        <v>0</v>
      </c>
      <c r="H68" s="579"/>
      <c r="I68" s="578">
        <v>0</v>
      </c>
      <c r="J68" s="578"/>
      <c r="K68" s="579">
        <v>0</v>
      </c>
      <c r="L68" s="579">
        <v>0</v>
      </c>
      <c r="M68" s="579">
        <v>0</v>
      </c>
      <c r="N68" s="578">
        <v>0</v>
      </c>
      <c r="O68" s="578">
        <v>0</v>
      </c>
      <c r="P68" s="579"/>
      <c r="Q68" s="579"/>
      <c r="R68" s="578">
        <v>0</v>
      </c>
      <c r="S68" s="578"/>
      <c r="T68" s="616"/>
      <c r="U68" s="578"/>
      <c r="V68" s="616"/>
      <c r="W68" s="578"/>
      <c r="X68" s="616"/>
      <c r="Y68" s="578"/>
      <c r="Z68" s="625"/>
    </row>
    <row r="69" spans="1:26" s="74" customFormat="1">
      <c r="A69" s="576"/>
      <c r="B69" s="577" t="s">
        <v>493</v>
      </c>
      <c r="C69" s="578">
        <v>0</v>
      </c>
      <c r="D69" s="579"/>
      <c r="E69" s="579">
        <v>0</v>
      </c>
      <c r="F69" s="579">
        <v>0</v>
      </c>
      <c r="G69" s="579">
        <v>0</v>
      </c>
      <c r="H69" s="579"/>
      <c r="I69" s="578">
        <v>0</v>
      </c>
      <c r="J69" s="578"/>
      <c r="K69" s="579">
        <v>0</v>
      </c>
      <c r="L69" s="579">
        <v>0</v>
      </c>
      <c r="M69" s="579">
        <v>0</v>
      </c>
      <c r="N69" s="578">
        <v>0</v>
      </c>
      <c r="O69" s="578">
        <v>0</v>
      </c>
      <c r="P69" s="579"/>
      <c r="Q69" s="579"/>
      <c r="R69" s="578">
        <v>0</v>
      </c>
      <c r="S69" s="578"/>
      <c r="T69" s="616"/>
      <c r="U69" s="578"/>
      <c r="V69" s="616"/>
      <c r="W69" s="578"/>
      <c r="X69" s="616"/>
      <c r="Y69" s="578"/>
      <c r="Z69" s="625"/>
    </row>
    <row r="70" spans="1:26" s="74" customFormat="1">
      <c r="A70" s="576"/>
      <c r="B70" s="580" t="s">
        <v>513</v>
      </c>
      <c r="C70" s="581">
        <v>0</v>
      </c>
      <c r="D70" s="582">
        <v>0</v>
      </c>
      <c r="E70" s="582">
        <v>0</v>
      </c>
      <c r="F70" s="582">
        <v>0</v>
      </c>
      <c r="G70" s="582">
        <v>0</v>
      </c>
      <c r="H70" s="582">
        <v>0</v>
      </c>
      <c r="I70" s="581">
        <v>0</v>
      </c>
      <c r="J70" s="581">
        <v>0</v>
      </c>
      <c r="K70" s="582">
        <v>0</v>
      </c>
      <c r="L70" s="582">
        <v>0</v>
      </c>
      <c r="M70" s="582">
        <v>0</v>
      </c>
      <c r="N70" s="581">
        <v>0</v>
      </c>
      <c r="O70" s="581">
        <v>0</v>
      </c>
      <c r="P70" s="582">
        <v>0</v>
      </c>
      <c r="Q70" s="582">
        <v>0</v>
      </c>
      <c r="R70" s="581">
        <v>0</v>
      </c>
      <c r="S70" s="581">
        <v>0</v>
      </c>
      <c r="T70" s="617">
        <v>0</v>
      </c>
      <c r="U70" s="581">
        <v>0</v>
      </c>
      <c r="V70" s="617">
        <v>0</v>
      </c>
      <c r="W70" s="581">
        <v>0</v>
      </c>
      <c r="X70" s="617">
        <v>0</v>
      </c>
      <c r="Y70" s="581">
        <v>0</v>
      </c>
      <c r="Z70" s="626">
        <v>0</v>
      </c>
    </row>
    <row r="71" spans="1:26" s="74" customFormat="1">
      <c r="A71" s="576"/>
      <c r="B71" s="577" t="s">
        <v>501</v>
      </c>
      <c r="C71" s="600">
        <v>6767.166666666667</v>
      </c>
      <c r="D71" s="601"/>
      <c r="E71" s="601">
        <v>4635.5416666666661</v>
      </c>
      <c r="F71" s="601">
        <v>2489.791666666667</v>
      </c>
      <c r="G71" s="601">
        <v>133.70833333333334</v>
      </c>
      <c r="H71" s="601"/>
      <c r="I71" s="600">
        <v>14026.208333333334</v>
      </c>
      <c r="J71" s="600"/>
      <c r="K71" s="601">
        <v>0</v>
      </c>
      <c r="L71" s="601">
        <v>0</v>
      </c>
      <c r="M71" s="601">
        <v>0</v>
      </c>
      <c r="N71" s="600">
        <v>0</v>
      </c>
      <c r="O71" s="600">
        <v>0</v>
      </c>
      <c r="P71" s="601"/>
      <c r="Q71" s="601"/>
      <c r="R71" s="600">
        <v>0</v>
      </c>
      <c r="S71" s="600"/>
      <c r="T71" s="619"/>
      <c r="U71" s="600"/>
      <c r="V71" s="619"/>
      <c r="W71" s="600"/>
      <c r="X71" s="619"/>
      <c r="Y71" s="600"/>
      <c r="Z71" s="628"/>
    </row>
    <row r="72" spans="1:26" s="74" customFormat="1">
      <c r="A72" s="576"/>
      <c r="B72" s="577" t="s">
        <v>503</v>
      </c>
      <c r="C72" s="600">
        <v>6697.75</v>
      </c>
      <c r="D72" s="601"/>
      <c r="E72" s="601">
        <v>4786.875</v>
      </c>
      <c r="F72" s="601">
        <v>2506.875</v>
      </c>
      <c r="G72" s="601">
        <v>111.08333333333333</v>
      </c>
      <c r="H72" s="601"/>
      <c r="I72" s="600">
        <v>14102.583333333334</v>
      </c>
      <c r="J72" s="600"/>
      <c r="K72" s="601">
        <v>0</v>
      </c>
      <c r="L72" s="601">
        <v>0</v>
      </c>
      <c r="M72" s="601">
        <v>0</v>
      </c>
      <c r="N72" s="600">
        <v>0</v>
      </c>
      <c r="O72" s="600">
        <v>0</v>
      </c>
      <c r="P72" s="601"/>
      <c r="Q72" s="601"/>
      <c r="R72" s="600">
        <v>0</v>
      </c>
      <c r="S72" s="600"/>
      <c r="T72" s="619"/>
      <c r="U72" s="600"/>
      <c r="V72" s="619"/>
      <c r="W72" s="600"/>
      <c r="X72" s="619"/>
      <c r="Y72" s="600"/>
      <c r="Z72" s="628"/>
    </row>
    <row r="73" spans="1:26" s="74" customFormat="1">
      <c r="A73" s="576"/>
      <c r="B73" s="580" t="s">
        <v>505</v>
      </c>
      <c r="C73" s="602">
        <v>-1.025786271950353</v>
      </c>
      <c r="D73" s="603">
        <v>0</v>
      </c>
      <c r="E73" s="603">
        <v>3.2646310661285676</v>
      </c>
      <c r="F73" s="603">
        <v>0.68613505146011655</v>
      </c>
      <c r="G73" s="603">
        <v>-16.921159239638524</v>
      </c>
      <c r="H73" s="603">
        <v>0</v>
      </c>
      <c r="I73" s="602">
        <v>0.54451636668260905</v>
      </c>
      <c r="J73" s="602">
        <v>0</v>
      </c>
      <c r="K73" s="603">
        <v>0</v>
      </c>
      <c r="L73" s="603">
        <v>0</v>
      </c>
      <c r="M73" s="603">
        <v>0</v>
      </c>
      <c r="N73" s="602">
        <v>0</v>
      </c>
      <c r="O73" s="602">
        <v>0</v>
      </c>
      <c r="P73" s="603">
        <v>0</v>
      </c>
      <c r="Q73" s="603">
        <v>0</v>
      </c>
      <c r="R73" s="602">
        <v>0</v>
      </c>
      <c r="S73" s="602">
        <v>0</v>
      </c>
      <c r="T73" s="620">
        <v>0</v>
      </c>
      <c r="U73" s="602">
        <v>0</v>
      </c>
      <c r="V73" s="620">
        <v>0</v>
      </c>
      <c r="W73" s="602">
        <v>0</v>
      </c>
      <c r="X73" s="620">
        <v>0</v>
      </c>
      <c r="Y73" s="602">
        <v>0</v>
      </c>
      <c r="Z73" s="629">
        <v>0</v>
      </c>
    </row>
    <row r="74" spans="1:26" s="74" customFormat="1">
      <c r="A74" s="576"/>
      <c r="B74" s="577" t="s">
        <v>67</v>
      </c>
      <c r="C74" s="578">
        <v>36592.566666666666</v>
      </c>
      <c r="D74" s="579"/>
      <c r="E74" s="579">
        <v>38662.90833333334</v>
      </c>
      <c r="F74" s="579">
        <v>19338.458333333332</v>
      </c>
      <c r="G74" s="579">
        <v>2171.5416666666665</v>
      </c>
      <c r="H74" s="579"/>
      <c r="I74" s="578">
        <v>96765.475000000006</v>
      </c>
      <c r="J74" s="578"/>
      <c r="K74" s="579">
        <v>15215.3</v>
      </c>
      <c r="L74" s="579">
        <v>23377.133333333331</v>
      </c>
      <c r="M74" s="579">
        <v>4830.2</v>
      </c>
      <c r="N74" s="578">
        <v>43422.633333333331</v>
      </c>
      <c r="O74" s="578">
        <v>2800.333333333333</v>
      </c>
      <c r="P74" s="579"/>
      <c r="Q74" s="579"/>
      <c r="R74" s="578">
        <v>2800.333333333333</v>
      </c>
      <c r="S74" s="578"/>
      <c r="T74" s="616"/>
      <c r="U74" s="578"/>
      <c r="V74" s="616"/>
      <c r="W74" s="578"/>
      <c r="X74" s="616"/>
      <c r="Y74" s="578"/>
      <c r="Z74" s="625"/>
    </row>
    <row r="75" spans="1:26" s="74" customFormat="1">
      <c r="A75" s="576"/>
      <c r="B75" s="577" t="s">
        <v>507</v>
      </c>
      <c r="C75" s="578">
        <v>36783.216666666667</v>
      </c>
      <c r="D75" s="579"/>
      <c r="E75" s="579">
        <v>38995.741666666669</v>
      </c>
      <c r="F75" s="579">
        <v>19555.275000000001</v>
      </c>
      <c r="G75" s="579">
        <v>2188.6833333333334</v>
      </c>
      <c r="H75" s="579"/>
      <c r="I75" s="578">
        <v>97522.916666666672</v>
      </c>
      <c r="J75" s="578"/>
      <c r="K75" s="579">
        <v>15828.433333333334</v>
      </c>
      <c r="L75" s="579">
        <v>24056.033333333333</v>
      </c>
      <c r="M75" s="579">
        <v>4960</v>
      </c>
      <c r="N75" s="578">
        <v>44844.466666666667</v>
      </c>
      <c r="O75" s="578">
        <v>2928.8666666666668</v>
      </c>
      <c r="P75" s="579"/>
      <c r="Q75" s="579"/>
      <c r="R75" s="578">
        <v>2928.8666666666668</v>
      </c>
      <c r="S75" s="578"/>
      <c r="T75" s="616"/>
      <c r="U75" s="578"/>
      <c r="V75" s="616"/>
      <c r="W75" s="578"/>
      <c r="X75" s="616"/>
      <c r="Y75" s="578"/>
      <c r="Z75" s="625"/>
    </row>
    <row r="76" spans="1:26" s="74" customFormat="1">
      <c r="A76" s="604"/>
      <c r="B76" s="608" t="s">
        <v>509</v>
      </c>
      <c r="C76" s="578">
        <v>0.52100745415508287</v>
      </c>
      <c r="D76" s="579">
        <v>0</v>
      </c>
      <c r="E76" s="579">
        <v>0.86085953613162425</v>
      </c>
      <c r="F76" s="579">
        <v>1.1211683109865411</v>
      </c>
      <c r="G76" s="579">
        <v>0.78937774622485013</v>
      </c>
      <c r="H76" s="579">
        <v>0</v>
      </c>
      <c r="I76" s="578">
        <v>0.78276024239704411</v>
      </c>
      <c r="J76" s="578">
        <v>0</v>
      </c>
      <c r="K76" s="579">
        <v>4.0297157028342196</v>
      </c>
      <c r="L76" s="579">
        <v>2.9041199804937654</v>
      </c>
      <c r="M76" s="579">
        <v>2.687259326735957</v>
      </c>
      <c r="N76" s="578">
        <v>3.2744060509150992</v>
      </c>
      <c r="O76" s="578">
        <v>4.58992977026546</v>
      </c>
      <c r="P76" s="579">
        <v>0</v>
      </c>
      <c r="Q76" s="579">
        <v>0</v>
      </c>
      <c r="R76" s="578">
        <v>4.58992977026546</v>
      </c>
      <c r="S76" s="578">
        <v>0</v>
      </c>
      <c r="T76" s="616">
        <v>0</v>
      </c>
      <c r="U76" s="578">
        <v>0</v>
      </c>
      <c r="V76" s="616">
        <v>0</v>
      </c>
      <c r="W76" s="578">
        <v>0</v>
      </c>
      <c r="X76" s="616">
        <v>0</v>
      </c>
      <c r="Y76" s="578">
        <v>0</v>
      </c>
      <c r="Z76" s="625">
        <v>0</v>
      </c>
    </row>
    <row r="77" spans="1:26" s="74" customFormat="1">
      <c r="A77" s="575" t="s">
        <v>903</v>
      </c>
      <c r="B77" s="573" t="s">
        <v>499</v>
      </c>
      <c r="C77" s="570">
        <v>24468.366666666665</v>
      </c>
      <c r="D77" s="574">
        <v>26531.866666666669</v>
      </c>
      <c r="E77" s="574">
        <v>26693.533333333333</v>
      </c>
      <c r="F77" s="574">
        <v>27345.133333333335</v>
      </c>
      <c r="G77" s="574">
        <v>1733.2666666666667</v>
      </c>
      <c r="H77" s="574"/>
      <c r="I77" s="570">
        <v>106772.16666666666</v>
      </c>
      <c r="J77" s="570">
        <v>1925.9333333333334</v>
      </c>
      <c r="K77" s="574">
        <v>8904.7999999999993</v>
      </c>
      <c r="L77" s="574">
        <v>10226.633333333331</v>
      </c>
      <c r="M77" s="574">
        <v>5890.9333333333325</v>
      </c>
      <c r="N77" s="570">
        <v>26948.299999999996</v>
      </c>
      <c r="O77" s="570">
        <v>1407.6333333333334</v>
      </c>
      <c r="P77" s="574">
        <v>789.15</v>
      </c>
      <c r="Q77" s="574">
        <v>12994.2</v>
      </c>
      <c r="R77" s="570">
        <v>15190.983333333334</v>
      </c>
      <c r="S77" s="570"/>
      <c r="T77" s="615"/>
      <c r="U77" s="570"/>
      <c r="V77" s="615"/>
      <c r="W77" s="570"/>
      <c r="X77" s="615"/>
      <c r="Y77" s="570"/>
      <c r="Z77" s="624"/>
    </row>
    <row r="78" spans="1:26" s="74" customFormat="1">
      <c r="A78" s="576"/>
      <c r="B78" s="577" t="s">
        <v>497</v>
      </c>
      <c r="C78" s="578">
        <v>23900.2</v>
      </c>
      <c r="D78" s="579">
        <v>26026.111111111113</v>
      </c>
      <c r="E78" s="579">
        <v>25767.766666666666</v>
      </c>
      <c r="F78" s="579">
        <v>27547.833333333336</v>
      </c>
      <c r="G78" s="579">
        <v>2009.7</v>
      </c>
      <c r="H78" s="579"/>
      <c r="I78" s="578">
        <v>105251.61111111111</v>
      </c>
      <c r="J78" s="578">
        <v>1937.5333333333333</v>
      </c>
      <c r="K78" s="579">
        <v>9691.4666666666672</v>
      </c>
      <c r="L78" s="579">
        <v>10613</v>
      </c>
      <c r="M78" s="579">
        <v>6680.4</v>
      </c>
      <c r="N78" s="578">
        <v>28922.400000000001</v>
      </c>
      <c r="O78" s="578">
        <v>1458.4333333333334</v>
      </c>
      <c r="P78" s="579">
        <v>921.2166666666667</v>
      </c>
      <c r="Q78" s="579">
        <v>14085.35</v>
      </c>
      <c r="R78" s="578">
        <v>16465</v>
      </c>
      <c r="S78" s="578"/>
      <c r="T78" s="616"/>
      <c r="U78" s="578"/>
      <c r="V78" s="616"/>
      <c r="W78" s="578"/>
      <c r="X78" s="616"/>
      <c r="Y78" s="578"/>
      <c r="Z78" s="625"/>
    </row>
    <row r="79" spans="1:26" s="74" customFormat="1">
      <c r="A79" s="576"/>
      <c r="B79" s="580" t="s">
        <v>511</v>
      </c>
      <c r="C79" s="581">
        <v>-2.3220457434156385</v>
      </c>
      <c r="D79" s="582">
        <v>-1.9062192717520396</v>
      </c>
      <c r="E79" s="582">
        <v>-3.4681308581604022</v>
      </c>
      <c r="F79" s="582">
        <v>0.74126535617550726</v>
      </c>
      <c r="G79" s="582">
        <v>15.948690334243629</v>
      </c>
      <c r="H79" s="582">
        <v>0</v>
      </c>
      <c r="I79" s="581">
        <v>-1.4241122972642992</v>
      </c>
      <c r="J79" s="581">
        <v>0.60230537574855014</v>
      </c>
      <c r="K79" s="582">
        <v>8.8341868056179571</v>
      </c>
      <c r="L79" s="582">
        <v>3.7780436050965163</v>
      </c>
      <c r="M79" s="582">
        <v>13.401385179484867</v>
      </c>
      <c r="N79" s="581">
        <v>7.3255084736328415</v>
      </c>
      <c r="O79" s="581">
        <v>3.6088943616945666</v>
      </c>
      <c r="P79" s="582">
        <v>16.7353059198716</v>
      </c>
      <c r="Q79" s="582">
        <v>8.3972079851010424</v>
      </c>
      <c r="R79" s="581">
        <v>8.3866635800403522</v>
      </c>
      <c r="S79" s="581">
        <v>0</v>
      </c>
      <c r="T79" s="617">
        <v>0</v>
      </c>
      <c r="U79" s="581">
        <v>0</v>
      </c>
      <c r="V79" s="617">
        <v>0</v>
      </c>
      <c r="W79" s="581">
        <v>0</v>
      </c>
      <c r="X79" s="617">
        <v>0</v>
      </c>
      <c r="Y79" s="581">
        <v>0</v>
      </c>
      <c r="Z79" s="626">
        <v>0</v>
      </c>
    </row>
    <row r="80" spans="1:26" s="74" customFormat="1">
      <c r="A80" s="576"/>
      <c r="B80" s="577" t="s">
        <v>495</v>
      </c>
      <c r="C80" s="578">
        <v>0</v>
      </c>
      <c r="D80" s="579">
        <v>0</v>
      </c>
      <c r="E80" s="579">
        <v>0</v>
      </c>
      <c r="F80" s="579">
        <v>0</v>
      </c>
      <c r="G80" s="579">
        <v>0</v>
      </c>
      <c r="H80" s="579"/>
      <c r="I80" s="578">
        <v>0</v>
      </c>
      <c r="J80" s="578">
        <v>0</v>
      </c>
      <c r="K80" s="579">
        <v>0</v>
      </c>
      <c r="L80" s="579">
        <v>0</v>
      </c>
      <c r="M80" s="579">
        <v>0</v>
      </c>
      <c r="N80" s="578">
        <v>0</v>
      </c>
      <c r="O80" s="578">
        <v>0</v>
      </c>
      <c r="P80" s="579">
        <v>62.402222222222221</v>
      </c>
      <c r="Q80" s="579">
        <v>106.50222222222222</v>
      </c>
      <c r="R80" s="578">
        <v>168.90444444444444</v>
      </c>
      <c r="S80" s="578"/>
      <c r="T80" s="616"/>
      <c r="U80" s="578"/>
      <c r="V80" s="616"/>
      <c r="W80" s="578"/>
      <c r="X80" s="616"/>
      <c r="Y80" s="578"/>
      <c r="Z80" s="625"/>
    </row>
    <row r="81" spans="1:26" s="74" customFormat="1">
      <c r="A81" s="576"/>
      <c r="B81" s="577" t="s">
        <v>493</v>
      </c>
      <c r="C81" s="578">
        <v>0</v>
      </c>
      <c r="D81" s="579">
        <v>0</v>
      </c>
      <c r="E81" s="579">
        <v>0</v>
      </c>
      <c r="F81" s="579">
        <v>0</v>
      </c>
      <c r="G81" s="579">
        <v>0</v>
      </c>
      <c r="H81" s="579"/>
      <c r="I81" s="578">
        <v>0</v>
      </c>
      <c r="J81" s="578">
        <v>0</v>
      </c>
      <c r="K81" s="579">
        <v>0</v>
      </c>
      <c r="L81" s="579">
        <v>0</v>
      </c>
      <c r="M81" s="579">
        <v>0</v>
      </c>
      <c r="N81" s="578">
        <v>0</v>
      </c>
      <c r="O81" s="578">
        <v>0</v>
      </c>
      <c r="P81" s="579">
        <v>24.097777777777779</v>
      </c>
      <c r="Q81" s="579">
        <v>98.387222222222221</v>
      </c>
      <c r="R81" s="578">
        <v>122.485</v>
      </c>
      <c r="S81" s="578"/>
      <c r="T81" s="616"/>
      <c r="U81" s="578"/>
      <c r="V81" s="616"/>
      <c r="W81" s="578"/>
      <c r="X81" s="616"/>
      <c r="Y81" s="578"/>
      <c r="Z81" s="625"/>
    </row>
    <row r="82" spans="1:26" s="74" customFormat="1">
      <c r="A82" s="576"/>
      <c r="B82" s="580" t="s">
        <v>513</v>
      </c>
      <c r="C82" s="581">
        <v>0</v>
      </c>
      <c r="D82" s="582">
        <v>0</v>
      </c>
      <c r="E82" s="582">
        <v>0</v>
      </c>
      <c r="F82" s="582">
        <v>0</v>
      </c>
      <c r="G82" s="582">
        <v>0</v>
      </c>
      <c r="H82" s="582">
        <v>0</v>
      </c>
      <c r="I82" s="581">
        <v>0</v>
      </c>
      <c r="J82" s="581">
        <v>0</v>
      </c>
      <c r="K82" s="582">
        <v>0</v>
      </c>
      <c r="L82" s="582">
        <v>0</v>
      </c>
      <c r="M82" s="582">
        <v>0</v>
      </c>
      <c r="N82" s="581">
        <v>0</v>
      </c>
      <c r="O82" s="581">
        <v>0</v>
      </c>
      <c r="P82" s="582">
        <v>-61.383141626010463</v>
      </c>
      <c r="Q82" s="582">
        <v>-7.6195593206192829</v>
      </c>
      <c r="R82" s="581">
        <v>-27.482666070230373</v>
      </c>
      <c r="S82" s="581">
        <v>0</v>
      </c>
      <c r="T82" s="617">
        <v>0</v>
      </c>
      <c r="U82" s="581">
        <v>0</v>
      </c>
      <c r="V82" s="617">
        <v>0</v>
      </c>
      <c r="W82" s="581">
        <v>0</v>
      </c>
      <c r="X82" s="617">
        <v>0</v>
      </c>
      <c r="Y82" s="581">
        <v>0</v>
      </c>
      <c r="Z82" s="626">
        <v>0</v>
      </c>
    </row>
    <row r="83" spans="1:26" s="74" customFormat="1">
      <c r="A83" s="576"/>
      <c r="B83" s="577" t="s">
        <v>501</v>
      </c>
      <c r="C83" s="578">
        <v>4371.979166666667</v>
      </c>
      <c r="D83" s="579">
        <v>3701.5694444444443</v>
      </c>
      <c r="E83" s="579">
        <v>2711.625</v>
      </c>
      <c r="F83" s="579">
        <v>2472.9166666666665</v>
      </c>
      <c r="G83" s="579">
        <v>331.75</v>
      </c>
      <c r="H83" s="579"/>
      <c r="I83" s="578">
        <v>13589.840277777777</v>
      </c>
      <c r="J83" s="578">
        <v>0</v>
      </c>
      <c r="K83" s="579">
        <v>0</v>
      </c>
      <c r="L83" s="579">
        <v>0</v>
      </c>
      <c r="M83" s="579">
        <v>0</v>
      </c>
      <c r="N83" s="578">
        <v>0</v>
      </c>
      <c r="O83" s="578">
        <v>0</v>
      </c>
      <c r="P83" s="579">
        <v>0</v>
      </c>
      <c r="Q83" s="579">
        <v>0</v>
      </c>
      <c r="R83" s="578">
        <v>0</v>
      </c>
      <c r="S83" s="578"/>
      <c r="T83" s="616"/>
      <c r="U83" s="578"/>
      <c r="V83" s="616"/>
      <c r="W83" s="578"/>
      <c r="X83" s="616"/>
      <c r="Y83" s="578"/>
      <c r="Z83" s="625"/>
    </row>
    <row r="84" spans="1:26" s="74" customFormat="1">
      <c r="A84" s="576"/>
      <c r="B84" s="577" t="s">
        <v>503</v>
      </c>
      <c r="C84" s="578">
        <v>4441.145833333333</v>
      </c>
      <c r="D84" s="579">
        <v>3806.0833333333335</v>
      </c>
      <c r="E84" s="579">
        <v>2904.458333333333</v>
      </c>
      <c r="F84" s="579">
        <v>2330.8333333333335</v>
      </c>
      <c r="G84" s="579">
        <v>399.95833333333331</v>
      </c>
      <c r="H84" s="579"/>
      <c r="I84" s="578">
        <v>13882.479166666668</v>
      </c>
      <c r="J84" s="578">
        <v>0</v>
      </c>
      <c r="K84" s="579">
        <v>0</v>
      </c>
      <c r="L84" s="579">
        <v>0</v>
      </c>
      <c r="M84" s="579">
        <v>0</v>
      </c>
      <c r="N84" s="578">
        <v>0</v>
      </c>
      <c r="O84" s="578">
        <v>0</v>
      </c>
      <c r="P84" s="579">
        <v>0</v>
      </c>
      <c r="Q84" s="579">
        <v>0</v>
      </c>
      <c r="R84" s="578">
        <v>0</v>
      </c>
      <c r="S84" s="578"/>
      <c r="T84" s="616"/>
      <c r="U84" s="578"/>
      <c r="V84" s="616"/>
      <c r="W84" s="578"/>
      <c r="X84" s="616"/>
      <c r="Y84" s="578"/>
      <c r="Z84" s="625"/>
    </row>
    <row r="85" spans="1:26" s="74" customFormat="1">
      <c r="A85" s="576"/>
      <c r="B85" s="580" t="s">
        <v>505</v>
      </c>
      <c r="C85" s="581">
        <v>1.5820447451811825</v>
      </c>
      <c r="D85" s="582">
        <v>2.8235020430523159</v>
      </c>
      <c r="E85" s="582">
        <v>7.111356966148823</v>
      </c>
      <c r="F85" s="582">
        <v>-5.7455770850884464</v>
      </c>
      <c r="G85" s="582">
        <v>20.560160763627223</v>
      </c>
      <c r="H85" s="582">
        <v>0</v>
      </c>
      <c r="I85" s="581">
        <v>2.1533651824254045</v>
      </c>
      <c r="J85" s="581">
        <v>0</v>
      </c>
      <c r="K85" s="582">
        <v>0</v>
      </c>
      <c r="L85" s="582">
        <v>0</v>
      </c>
      <c r="M85" s="582">
        <v>0</v>
      </c>
      <c r="N85" s="581">
        <v>0</v>
      </c>
      <c r="O85" s="581">
        <v>0</v>
      </c>
      <c r="P85" s="582">
        <v>0</v>
      </c>
      <c r="Q85" s="582">
        <v>0</v>
      </c>
      <c r="R85" s="581">
        <v>0</v>
      </c>
      <c r="S85" s="581">
        <v>0</v>
      </c>
      <c r="T85" s="617">
        <v>0</v>
      </c>
      <c r="U85" s="581">
        <v>0</v>
      </c>
      <c r="V85" s="617">
        <v>0</v>
      </c>
      <c r="W85" s="581">
        <v>0</v>
      </c>
      <c r="X85" s="617">
        <v>0</v>
      </c>
      <c r="Y85" s="581">
        <v>0</v>
      </c>
      <c r="Z85" s="626">
        <v>0</v>
      </c>
    </row>
    <row r="86" spans="1:26" s="74" customFormat="1">
      <c r="A86" s="576"/>
      <c r="B86" s="577" t="s">
        <v>67</v>
      </c>
      <c r="C86" s="578">
        <v>28840.345833333333</v>
      </c>
      <c r="D86" s="579">
        <v>30233.436111111114</v>
      </c>
      <c r="E86" s="579">
        <v>29405.158333333333</v>
      </c>
      <c r="F86" s="579">
        <v>29818.050000000003</v>
      </c>
      <c r="G86" s="579">
        <v>2065.0166666666664</v>
      </c>
      <c r="H86" s="579"/>
      <c r="I86" s="578">
        <v>120362.00694444445</v>
      </c>
      <c r="J86" s="578">
        <v>1925.9333333333334</v>
      </c>
      <c r="K86" s="579">
        <v>8904.7999999999993</v>
      </c>
      <c r="L86" s="579">
        <v>10226.633333333331</v>
      </c>
      <c r="M86" s="579">
        <v>5890.9333333333325</v>
      </c>
      <c r="N86" s="578">
        <v>26948.299999999996</v>
      </c>
      <c r="O86" s="578">
        <v>1407.6333333333334</v>
      </c>
      <c r="P86" s="579">
        <v>851.55222222222221</v>
      </c>
      <c r="Q86" s="579">
        <v>13100.702222222222</v>
      </c>
      <c r="R86" s="578">
        <v>15359.887777777778</v>
      </c>
      <c r="S86" s="578"/>
      <c r="T86" s="616"/>
      <c r="U86" s="578"/>
      <c r="V86" s="616"/>
      <c r="W86" s="578"/>
      <c r="X86" s="616"/>
      <c r="Y86" s="578"/>
      <c r="Z86" s="625"/>
    </row>
    <row r="87" spans="1:26" s="74" customFormat="1">
      <c r="A87" s="576"/>
      <c r="B87" s="577" t="s">
        <v>507</v>
      </c>
      <c r="C87" s="578">
        <v>28341.345833333333</v>
      </c>
      <c r="D87" s="579">
        <v>29832.194444444445</v>
      </c>
      <c r="E87" s="579">
        <v>28672.224999999999</v>
      </c>
      <c r="F87" s="579">
        <v>29878.666666666668</v>
      </c>
      <c r="G87" s="579">
        <v>2409.6583333333333</v>
      </c>
      <c r="H87" s="579"/>
      <c r="I87" s="578">
        <v>119134.09027777778</v>
      </c>
      <c r="J87" s="578">
        <v>1937.5333333333333</v>
      </c>
      <c r="K87" s="579">
        <v>9691.4666666666672</v>
      </c>
      <c r="L87" s="579">
        <v>10613</v>
      </c>
      <c r="M87" s="579">
        <v>6680.4</v>
      </c>
      <c r="N87" s="578">
        <v>28922.400000000001</v>
      </c>
      <c r="O87" s="578">
        <v>1458.4333333333334</v>
      </c>
      <c r="P87" s="579">
        <v>945.31444444444446</v>
      </c>
      <c r="Q87" s="579">
        <v>14183.737222222222</v>
      </c>
      <c r="R87" s="578">
        <v>16587.485000000001</v>
      </c>
      <c r="S87" s="578"/>
      <c r="T87" s="616"/>
      <c r="U87" s="578"/>
      <c r="V87" s="616"/>
      <c r="W87" s="578"/>
      <c r="X87" s="616"/>
      <c r="Y87" s="578"/>
      <c r="Z87" s="625"/>
    </row>
    <row r="88" spans="1:26" s="74" customFormat="1">
      <c r="A88" s="604"/>
      <c r="B88" s="608" t="s">
        <v>509</v>
      </c>
      <c r="C88" s="578">
        <v>-1.7302150358518298</v>
      </c>
      <c r="D88" s="579">
        <v>-1.3271454332615802</v>
      </c>
      <c r="E88" s="579">
        <v>-2.4925331978317899</v>
      </c>
      <c r="F88" s="579">
        <v>0.20328850030992959</v>
      </c>
      <c r="G88" s="579">
        <v>16.689534386324578</v>
      </c>
      <c r="H88" s="579">
        <v>0</v>
      </c>
      <c r="I88" s="578">
        <v>-1.0201862679420559</v>
      </c>
      <c r="J88" s="578">
        <v>0.60230537574855014</v>
      </c>
      <c r="K88" s="579">
        <v>8.8341868056179571</v>
      </c>
      <c r="L88" s="579">
        <v>3.7780436050965163</v>
      </c>
      <c r="M88" s="579">
        <v>13.401385179484867</v>
      </c>
      <c r="N88" s="578">
        <v>7.3255084736328415</v>
      </c>
      <c r="O88" s="578">
        <v>3.6088943616945666</v>
      </c>
      <c r="P88" s="579">
        <v>11.010742474200711</v>
      </c>
      <c r="Q88" s="579">
        <v>8.2669995976466719</v>
      </c>
      <c r="R88" s="578">
        <v>7.9922278077986562</v>
      </c>
      <c r="S88" s="578">
        <v>0</v>
      </c>
      <c r="T88" s="616">
        <v>0</v>
      </c>
      <c r="U88" s="578">
        <v>0</v>
      </c>
      <c r="V88" s="616">
        <v>0</v>
      </c>
      <c r="W88" s="578">
        <v>0</v>
      </c>
      <c r="X88" s="616">
        <v>0</v>
      </c>
      <c r="Y88" s="578">
        <v>0</v>
      </c>
      <c r="Z88" s="625">
        <v>0</v>
      </c>
    </row>
    <row r="89" spans="1:26" s="74" customFormat="1">
      <c r="A89" s="575" t="s">
        <v>200</v>
      </c>
      <c r="B89" s="573" t="s">
        <v>499</v>
      </c>
      <c r="C89" s="570">
        <v>25279.233333333334</v>
      </c>
      <c r="D89" s="574">
        <v>8937.5333333333328</v>
      </c>
      <c r="E89" s="574">
        <v>20017.733333333334</v>
      </c>
      <c r="F89" s="574">
        <v>22283.8</v>
      </c>
      <c r="G89" s="574"/>
      <c r="H89" s="574">
        <v>2010.0333333333333</v>
      </c>
      <c r="I89" s="570">
        <v>78528.333333333343</v>
      </c>
      <c r="J89" s="570"/>
      <c r="K89" s="574">
        <v>40822.46666666666</v>
      </c>
      <c r="L89" s="574">
        <v>25040.366666666669</v>
      </c>
      <c r="M89" s="574">
        <v>7240.1666666666661</v>
      </c>
      <c r="N89" s="570">
        <v>73103</v>
      </c>
      <c r="O89" s="570"/>
      <c r="P89" s="574"/>
      <c r="Q89" s="574"/>
      <c r="R89" s="570"/>
      <c r="S89" s="570"/>
      <c r="T89" s="615"/>
      <c r="U89" s="570"/>
      <c r="V89" s="615"/>
      <c r="W89" s="570"/>
      <c r="X89" s="615"/>
      <c r="Y89" s="570"/>
      <c r="Z89" s="624"/>
    </row>
    <row r="90" spans="1:26" s="74" customFormat="1">
      <c r="A90" s="576"/>
      <c r="B90" s="577" t="s">
        <v>497</v>
      </c>
      <c r="C90" s="578">
        <v>25969.566666666666</v>
      </c>
      <c r="D90" s="579">
        <v>9076.5666666666675</v>
      </c>
      <c r="E90" s="579">
        <v>21224.199999999997</v>
      </c>
      <c r="F90" s="579">
        <v>23457.733333333334</v>
      </c>
      <c r="G90" s="579"/>
      <c r="H90" s="579">
        <v>2064.4516666666668</v>
      </c>
      <c r="I90" s="578">
        <v>81792.518333333326</v>
      </c>
      <c r="J90" s="578"/>
      <c r="K90" s="579">
        <v>47629.51666666667</v>
      </c>
      <c r="L90" s="579">
        <v>26577.733333333334</v>
      </c>
      <c r="M90" s="579">
        <v>8075.9833333333336</v>
      </c>
      <c r="N90" s="578">
        <v>82283.233333333337</v>
      </c>
      <c r="O90" s="578"/>
      <c r="P90" s="579"/>
      <c r="Q90" s="579"/>
      <c r="R90" s="578"/>
      <c r="S90" s="578"/>
      <c r="T90" s="616"/>
      <c r="U90" s="578"/>
      <c r="V90" s="616"/>
      <c r="W90" s="578"/>
      <c r="X90" s="616"/>
      <c r="Y90" s="578"/>
      <c r="Z90" s="625"/>
    </row>
    <row r="91" spans="1:26" s="74" customFormat="1">
      <c r="A91" s="576"/>
      <c r="B91" s="580" t="s">
        <v>511</v>
      </c>
      <c r="C91" s="581">
        <v>2.7308317630940762</v>
      </c>
      <c r="D91" s="582">
        <v>1.555611913801735</v>
      </c>
      <c r="E91" s="582">
        <v>6.0269894027295638</v>
      </c>
      <c r="F91" s="582">
        <v>5.2681020891110775</v>
      </c>
      <c r="G91" s="582">
        <v>0</v>
      </c>
      <c r="H91" s="582">
        <v>2.7073348700684989</v>
      </c>
      <c r="I91" s="581">
        <v>4.1566971581382308</v>
      </c>
      <c r="J91" s="581">
        <v>0</v>
      </c>
      <c r="K91" s="582">
        <v>16.674764059659985</v>
      </c>
      <c r="L91" s="582">
        <v>6.1395533345491407</v>
      </c>
      <c r="M91" s="582">
        <v>11.544163347989238</v>
      </c>
      <c r="N91" s="581">
        <v>12.55794335845771</v>
      </c>
      <c r="O91" s="581">
        <v>0</v>
      </c>
      <c r="P91" s="582">
        <v>0</v>
      </c>
      <c r="Q91" s="582">
        <v>0</v>
      </c>
      <c r="R91" s="581">
        <v>0</v>
      </c>
      <c r="S91" s="581">
        <v>0</v>
      </c>
      <c r="T91" s="617">
        <v>0</v>
      </c>
      <c r="U91" s="581">
        <v>0</v>
      </c>
      <c r="V91" s="617">
        <v>0</v>
      </c>
      <c r="W91" s="581">
        <v>0</v>
      </c>
      <c r="X91" s="617">
        <v>0</v>
      </c>
      <c r="Y91" s="581">
        <v>0</v>
      </c>
      <c r="Z91" s="626">
        <v>0</v>
      </c>
    </row>
    <row r="92" spans="1:26" s="74" customFormat="1">
      <c r="A92" s="576"/>
      <c r="B92" s="577" t="s">
        <v>495</v>
      </c>
      <c r="C92" s="578">
        <v>0</v>
      </c>
      <c r="D92" s="579">
        <v>0</v>
      </c>
      <c r="E92" s="579">
        <v>0</v>
      </c>
      <c r="F92" s="579">
        <v>0</v>
      </c>
      <c r="G92" s="579"/>
      <c r="H92" s="579">
        <v>0</v>
      </c>
      <c r="I92" s="578">
        <v>0</v>
      </c>
      <c r="J92" s="578"/>
      <c r="K92" s="579">
        <v>0</v>
      </c>
      <c r="L92" s="579">
        <v>0</v>
      </c>
      <c r="M92" s="579">
        <v>0</v>
      </c>
      <c r="N92" s="578">
        <v>0</v>
      </c>
      <c r="O92" s="578"/>
      <c r="P92" s="579"/>
      <c r="Q92" s="579"/>
      <c r="R92" s="578"/>
      <c r="S92" s="578"/>
      <c r="T92" s="616"/>
      <c r="U92" s="578"/>
      <c r="V92" s="616"/>
      <c r="W92" s="578"/>
      <c r="X92" s="616"/>
      <c r="Y92" s="578"/>
      <c r="Z92" s="625"/>
    </row>
    <row r="93" spans="1:26" s="74" customFormat="1">
      <c r="A93" s="576"/>
      <c r="B93" s="577" t="s">
        <v>493</v>
      </c>
      <c r="C93" s="578">
        <v>0</v>
      </c>
      <c r="D93" s="579">
        <v>0</v>
      </c>
      <c r="E93" s="579">
        <v>0</v>
      </c>
      <c r="F93" s="579">
        <v>0</v>
      </c>
      <c r="G93" s="579"/>
      <c r="H93" s="579">
        <v>0</v>
      </c>
      <c r="I93" s="578">
        <v>0</v>
      </c>
      <c r="J93" s="578"/>
      <c r="K93" s="579">
        <v>0</v>
      </c>
      <c r="L93" s="579">
        <v>0</v>
      </c>
      <c r="M93" s="579">
        <v>0</v>
      </c>
      <c r="N93" s="578">
        <v>0</v>
      </c>
      <c r="O93" s="578"/>
      <c r="P93" s="579"/>
      <c r="Q93" s="579"/>
      <c r="R93" s="578"/>
      <c r="S93" s="578"/>
      <c r="T93" s="616"/>
      <c r="U93" s="578"/>
      <c r="V93" s="616"/>
      <c r="W93" s="578"/>
      <c r="X93" s="616"/>
      <c r="Y93" s="578"/>
      <c r="Z93" s="625"/>
    </row>
    <row r="94" spans="1:26" s="74" customFormat="1">
      <c r="A94" s="576"/>
      <c r="B94" s="580" t="s">
        <v>513</v>
      </c>
      <c r="C94" s="581">
        <v>0</v>
      </c>
      <c r="D94" s="582">
        <v>0</v>
      </c>
      <c r="E94" s="582">
        <v>0</v>
      </c>
      <c r="F94" s="582">
        <v>0</v>
      </c>
      <c r="G94" s="582">
        <v>0</v>
      </c>
      <c r="H94" s="582">
        <v>0</v>
      </c>
      <c r="I94" s="581">
        <v>0</v>
      </c>
      <c r="J94" s="581">
        <v>0</v>
      </c>
      <c r="K94" s="582">
        <v>0</v>
      </c>
      <c r="L94" s="582">
        <v>0</v>
      </c>
      <c r="M94" s="582">
        <v>0</v>
      </c>
      <c r="N94" s="581">
        <v>0</v>
      </c>
      <c r="O94" s="581">
        <v>0</v>
      </c>
      <c r="P94" s="582">
        <v>0</v>
      </c>
      <c r="Q94" s="582">
        <v>0</v>
      </c>
      <c r="R94" s="581">
        <v>0</v>
      </c>
      <c r="S94" s="581">
        <v>0</v>
      </c>
      <c r="T94" s="617">
        <v>0</v>
      </c>
      <c r="U94" s="581">
        <v>0</v>
      </c>
      <c r="V94" s="617">
        <v>0</v>
      </c>
      <c r="W94" s="581">
        <v>0</v>
      </c>
      <c r="X94" s="617">
        <v>0</v>
      </c>
      <c r="Y94" s="581">
        <v>0</v>
      </c>
      <c r="Z94" s="626">
        <v>0</v>
      </c>
    </row>
    <row r="95" spans="1:26" s="74" customFormat="1">
      <c r="A95" s="576"/>
      <c r="B95" s="577" t="s">
        <v>501</v>
      </c>
      <c r="C95" s="578">
        <v>6067.791666666667</v>
      </c>
      <c r="D95" s="579">
        <v>1129.6666666666667</v>
      </c>
      <c r="E95" s="579">
        <v>2749.916666666667</v>
      </c>
      <c r="F95" s="579">
        <v>4415.0833333333339</v>
      </c>
      <c r="G95" s="579"/>
      <c r="H95" s="579">
        <v>26</v>
      </c>
      <c r="I95" s="578">
        <v>14388.458333333334</v>
      </c>
      <c r="J95" s="578"/>
      <c r="K95" s="579">
        <v>0</v>
      </c>
      <c r="L95" s="579">
        <v>0</v>
      </c>
      <c r="M95" s="579">
        <v>0</v>
      </c>
      <c r="N95" s="578">
        <v>0</v>
      </c>
      <c r="O95" s="578"/>
      <c r="P95" s="579"/>
      <c r="Q95" s="579"/>
      <c r="R95" s="578"/>
      <c r="S95" s="578"/>
      <c r="T95" s="616"/>
      <c r="U95" s="578"/>
      <c r="V95" s="616"/>
      <c r="W95" s="578"/>
      <c r="X95" s="616"/>
      <c r="Y95" s="578"/>
      <c r="Z95" s="625"/>
    </row>
    <row r="96" spans="1:26" s="74" customFormat="1">
      <c r="A96" s="576"/>
      <c r="B96" s="577" t="s">
        <v>503</v>
      </c>
      <c r="C96" s="578">
        <v>6226.666666666667</v>
      </c>
      <c r="D96" s="579">
        <v>1199.4583333333333</v>
      </c>
      <c r="E96" s="579">
        <v>2900.1666666666665</v>
      </c>
      <c r="F96" s="579">
        <v>4606.916666666667</v>
      </c>
      <c r="G96" s="579"/>
      <c r="H96" s="579">
        <v>53.416666666666664</v>
      </c>
      <c r="I96" s="578">
        <v>14986.624999999998</v>
      </c>
      <c r="J96" s="578"/>
      <c r="K96" s="579">
        <v>0</v>
      </c>
      <c r="L96" s="579">
        <v>0</v>
      </c>
      <c r="M96" s="579">
        <v>0</v>
      </c>
      <c r="N96" s="578">
        <v>0</v>
      </c>
      <c r="O96" s="578"/>
      <c r="P96" s="579"/>
      <c r="Q96" s="579"/>
      <c r="R96" s="578"/>
      <c r="S96" s="578"/>
      <c r="T96" s="616"/>
      <c r="U96" s="578"/>
      <c r="V96" s="616"/>
      <c r="W96" s="578"/>
      <c r="X96" s="616"/>
      <c r="Y96" s="578"/>
      <c r="Z96" s="625"/>
    </row>
    <row r="97" spans="1:26" s="74" customFormat="1">
      <c r="A97" s="576"/>
      <c r="B97" s="580" t="s">
        <v>505</v>
      </c>
      <c r="C97" s="581">
        <v>2.6183331387723432</v>
      </c>
      <c r="D97" s="582">
        <v>6.1780761286515062</v>
      </c>
      <c r="E97" s="582">
        <v>5.4638019333919043</v>
      </c>
      <c r="F97" s="582">
        <v>4.3449538513806765</v>
      </c>
      <c r="G97" s="582">
        <v>0</v>
      </c>
      <c r="H97" s="582">
        <v>105.44871794871793</v>
      </c>
      <c r="I97" s="581">
        <v>4.157267254135979</v>
      </c>
      <c r="J97" s="581">
        <v>0</v>
      </c>
      <c r="K97" s="582">
        <v>0</v>
      </c>
      <c r="L97" s="582">
        <v>0</v>
      </c>
      <c r="M97" s="582">
        <v>0</v>
      </c>
      <c r="N97" s="581">
        <v>0</v>
      </c>
      <c r="O97" s="581">
        <v>0</v>
      </c>
      <c r="P97" s="582">
        <v>0</v>
      </c>
      <c r="Q97" s="582">
        <v>0</v>
      </c>
      <c r="R97" s="581">
        <v>0</v>
      </c>
      <c r="S97" s="581">
        <v>0</v>
      </c>
      <c r="T97" s="617">
        <v>0</v>
      </c>
      <c r="U97" s="581">
        <v>0</v>
      </c>
      <c r="V97" s="617">
        <v>0</v>
      </c>
      <c r="W97" s="581">
        <v>0</v>
      </c>
      <c r="X97" s="617">
        <v>0</v>
      </c>
      <c r="Y97" s="581">
        <v>0</v>
      </c>
      <c r="Z97" s="626">
        <v>0</v>
      </c>
    </row>
    <row r="98" spans="1:26" s="74" customFormat="1">
      <c r="A98" s="576"/>
      <c r="B98" s="577" t="s">
        <v>67</v>
      </c>
      <c r="C98" s="578">
        <v>31347.025000000001</v>
      </c>
      <c r="D98" s="579">
        <v>10067.199999999999</v>
      </c>
      <c r="E98" s="579">
        <v>22767.65</v>
      </c>
      <c r="F98" s="579">
        <v>26698.883333333335</v>
      </c>
      <c r="G98" s="579"/>
      <c r="H98" s="579">
        <v>2036.0333333333333</v>
      </c>
      <c r="I98" s="578">
        <v>92916.791666666672</v>
      </c>
      <c r="J98" s="578"/>
      <c r="K98" s="579">
        <v>40822.46666666666</v>
      </c>
      <c r="L98" s="579">
        <v>25040.366666666669</v>
      </c>
      <c r="M98" s="579">
        <v>7240.1666666666661</v>
      </c>
      <c r="N98" s="578">
        <v>73103</v>
      </c>
      <c r="O98" s="578"/>
      <c r="P98" s="579"/>
      <c r="Q98" s="579"/>
      <c r="R98" s="578"/>
      <c r="S98" s="578"/>
      <c r="T98" s="616"/>
      <c r="U98" s="578"/>
      <c r="V98" s="616"/>
      <c r="W98" s="578"/>
      <c r="X98" s="616"/>
      <c r="Y98" s="578"/>
      <c r="Z98" s="625"/>
    </row>
    <row r="99" spans="1:26" s="74" customFormat="1">
      <c r="A99" s="576"/>
      <c r="B99" s="577" t="s">
        <v>507</v>
      </c>
      <c r="C99" s="578">
        <v>32196.233333333334</v>
      </c>
      <c r="D99" s="579">
        <v>10276.025000000001</v>
      </c>
      <c r="E99" s="579">
        <v>24124.366666666669</v>
      </c>
      <c r="F99" s="579">
        <v>28064.649999999998</v>
      </c>
      <c r="G99" s="579"/>
      <c r="H99" s="579">
        <v>2117.8683333333333</v>
      </c>
      <c r="I99" s="578">
        <v>96779.143333333326</v>
      </c>
      <c r="J99" s="578"/>
      <c r="K99" s="579">
        <v>47629.51666666667</v>
      </c>
      <c r="L99" s="579">
        <v>26577.733333333334</v>
      </c>
      <c r="M99" s="579">
        <v>8075.9833333333336</v>
      </c>
      <c r="N99" s="578">
        <v>82283.233333333337</v>
      </c>
      <c r="O99" s="578"/>
      <c r="P99" s="579"/>
      <c r="Q99" s="579"/>
      <c r="R99" s="578"/>
      <c r="S99" s="578"/>
      <c r="T99" s="616"/>
      <c r="U99" s="578"/>
      <c r="V99" s="616"/>
      <c r="W99" s="578"/>
      <c r="X99" s="616"/>
      <c r="Y99" s="578"/>
      <c r="Z99" s="625"/>
    </row>
    <row r="100" spans="1:26" s="74" customFormat="1">
      <c r="A100" s="604"/>
      <c r="B100" s="608" t="s">
        <v>509</v>
      </c>
      <c r="C100" s="578">
        <v>2.7090555908681351</v>
      </c>
      <c r="D100" s="579">
        <v>2.0743106325492944</v>
      </c>
      <c r="E100" s="579">
        <v>5.9589666332127695</v>
      </c>
      <c r="F100" s="579">
        <v>5.1154449031263951</v>
      </c>
      <c r="G100" s="579">
        <v>0</v>
      </c>
      <c r="H100" s="579">
        <v>4.019334981418119</v>
      </c>
      <c r="I100" s="578">
        <v>4.1567854393020864</v>
      </c>
      <c r="J100" s="578">
        <v>0</v>
      </c>
      <c r="K100" s="579">
        <v>16.674764059659985</v>
      </c>
      <c r="L100" s="579">
        <v>6.1395533345491407</v>
      </c>
      <c r="M100" s="579">
        <v>11.544163347989238</v>
      </c>
      <c r="N100" s="578">
        <v>12.55794335845771</v>
      </c>
      <c r="O100" s="578">
        <v>0</v>
      </c>
      <c r="P100" s="579">
        <v>0</v>
      </c>
      <c r="Q100" s="579">
        <v>0</v>
      </c>
      <c r="R100" s="578">
        <v>0</v>
      </c>
      <c r="S100" s="578">
        <v>0</v>
      </c>
      <c r="T100" s="616">
        <v>0</v>
      </c>
      <c r="U100" s="578">
        <v>0</v>
      </c>
      <c r="V100" s="616">
        <v>0</v>
      </c>
      <c r="W100" s="578">
        <v>0</v>
      </c>
      <c r="X100" s="616">
        <v>0</v>
      </c>
      <c r="Y100" s="578">
        <v>0</v>
      </c>
      <c r="Z100" s="625">
        <v>0</v>
      </c>
    </row>
    <row r="101" spans="1:26" s="74" customFormat="1">
      <c r="A101" s="575" t="s">
        <v>703</v>
      </c>
      <c r="B101" s="573" t="s">
        <v>499</v>
      </c>
      <c r="C101" s="570">
        <v>22584.766666666666</v>
      </c>
      <c r="D101" s="574">
        <v>17833.766666666666</v>
      </c>
      <c r="E101" s="574"/>
      <c r="F101" s="574">
        <v>5635.1666666666661</v>
      </c>
      <c r="G101" s="574">
        <v>4439.1000000000004</v>
      </c>
      <c r="H101" s="574"/>
      <c r="I101" s="570">
        <v>50492.799999999996</v>
      </c>
      <c r="J101" s="570"/>
      <c r="K101" s="574">
        <v>20479.5</v>
      </c>
      <c r="L101" s="574">
        <v>32813.26666666667</v>
      </c>
      <c r="M101" s="574">
        <v>3290.2</v>
      </c>
      <c r="N101" s="570">
        <v>56582.966666666667</v>
      </c>
      <c r="O101" s="570"/>
      <c r="P101" s="574"/>
      <c r="Q101" s="574"/>
      <c r="R101" s="570"/>
      <c r="S101" s="570"/>
      <c r="T101" s="615"/>
      <c r="U101" s="570"/>
      <c r="V101" s="615"/>
      <c r="W101" s="570"/>
      <c r="X101" s="615"/>
      <c r="Y101" s="570"/>
      <c r="Z101" s="624"/>
    </row>
    <row r="102" spans="1:26" s="74" customFormat="1">
      <c r="A102" s="576"/>
      <c r="B102" s="577" t="s">
        <v>497</v>
      </c>
      <c r="C102" s="578">
        <v>23206.483333333334</v>
      </c>
      <c r="D102" s="579">
        <v>17503.366666666669</v>
      </c>
      <c r="E102" s="579"/>
      <c r="F102" s="579">
        <v>5325.2333333333336</v>
      </c>
      <c r="G102" s="579">
        <v>4197.333333333333</v>
      </c>
      <c r="H102" s="579"/>
      <c r="I102" s="578">
        <v>50232.416666666679</v>
      </c>
      <c r="J102" s="578"/>
      <c r="K102" s="579">
        <v>21342.799999999999</v>
      </c>
      <c r="L102" s="579">
        <v>34138.933333333334</v>
      </c>
      <c r="M102" s="579">
        <v>3109.9333333333334</v>
      </c>
      <c r="N102" s="578">
        <v>58591.666666666672</v>
      </c>
      <c r="O102" s="578"/>
      <c r="P102" s="579"/>
      <c r="Q102" s="579"/>
      <c r="R102" s="578"/>
      <c r="S102" s="578"/>
      <c r="T102" s="616"/>
      <c r="U102" s="578"/>
      <c r="V102" s="616"/>
      <c r="W102" s="578"/>
      <c r="X102" s="616"/>
      <c r="Y102" s="578"/>
      <c r="Z102" s="625"/>
    </row>
    <row r="103" spans="1:26" s="74" customFormat="1">
      <c r="A103" s="576"/>
      <c r="B103" s="580" t="s">
        <v>511</v>
      </c>
      <c r="C103" s="581">
        <v>2.7528142125296866</v>
      </c>
      <c r="D103" s="582">
        <v>-1.8526652623394078</v>
      </c>
      <c r="E103" s="582">
        <v>0</v>
      </c>
      <c r="F103" s="582">
        <v>-5.4999852119132688</v>
      </c>
      <c r="G103" s="582">
        <v>-5.4462991747576606</v>
      </c>
      <c r="H103" s="582">
        <v>0</v>
      </c>
      <c r="I103" s="581">
        <v>-0.5156840843314916</v>
      </c>
      <c r="J103" s="581">
        <v>0</v>
      </c>
      <c r="K103" s="582">
        <v>4.2154349471422607</v>
      </c>
      <c r="L103" s="582">
        <v>4.0400325884449098</v>
      </c>
      <c r="M103" s="582">
        <v>-5.4788969262253486</v>
      </c>
      <c r="N103" s="581">
        <v>3.5500082769313526</v>
      </c>
      <c r="O103" s="581">
        <v>0</v>
      </c>
      <c r="P103" s="582">
        <v>0</v>
      </c>
      <c r="Q103" s="582">
        <v>0</v>
      </c>
      <c r="R103" s="581">
        <v>0</v>
      </c>
      <c r="S103" s="581">
        <v>0</v>
      </c>
      <c r="T103" s="617">
        <v>0</v>
      </c>
      <c r="U103" s="581">
        <v>0</v>
      </c>
      <c r="V103" s="617">
        <v>0</v>
      </c>
      <c r="W103" s="581">
        <v>0</v>
      </c>
      <c r="X103" s="617">
        <v>0</v>
      </c>
      <c r="Y103" s="581">
        <v>0</v>
      </c>
      <c r="Z103" s="626">
        <v>0</v>
      </c>
    </row>
    <row r="104" spans="1:26" s="74" customFormat="1">
      <c r="A104" s="576"/>
      <c r="B104" s="577" t="s">
        <v>495</v>
      </c>
      <c r="C104" s="578">
        <v>0</v>
      </c>
      <c r="D104" s="579">
        <v>0</v>
      </c>
      <c r="E104" s="579"/>
      <c r="F104" s="579">
        <v>0</v>
      </c>
      <c r="G104" s="579">
        <v>0</v>
      </c>
      <c r="H104" s="579"/>
      <c r="I104" s="578">
        <v>0</v>
      </c>
      <c r="J104" s="578"/>
      <c r="K104" s="579">
        <v>0</v>
      </c>
      <c r="L104" s="579">
        <v>0</v>
      </c>
      <c r="M104" s="579">
        <v>0</v>
      </c>
      <c r="N104" s="578">
        <v>0</v>
      </c>
      <c r="O104" s="578"/>
      <c r="P104" s="579"/>
      <c r="Q104" s="579"/>
      <c r="R104" s="578"/>
      <c r="S104" s="578"/>
      <c r="T104" s="616"/>
      <c r="U104" s="578"/>
      <c r="V104" s="616"/>
      <c r="W104" s="578"/>
      <c r="X104" s="616"/>
      <c r="Y104" s="578"/>
      <c r="Z104" s="625"/>
    </row>
    <row r="105" spans="1:26" s="74" customFormat="1">
      <c r="A105" s="576"/>
      <c r="B105" s="577" t="s">
        <v>493</v>
      </c>
      <c r="C105" s="578">
        <v>0</v>
      </c>
      <c r="D105" s="579">
        <v>0</v>
      </c>
      <c r="E105" s="579"/>
      <c r="F105" s="579">
        <v>0</v>
      </c>
      <c r="G105" s="579">
        <v>0</v>
      </c>
      <c r="H105" s="579"/>
      <c r="I105" s="578">
        <v>0</v>
      </c>
      <c r="J105" s="578"/>
      <c r="K105" s="579">
        <v>0</v>
      </c>
      <c r="L105" s="579">
        <v>0</v>
      </c>
      <c r="M105" s="579">
        <v>0</v>
      </c>
      <c r="N105" s="578">
        <v>0</v>
      </c>
      <c r="O105" s="578"/>
      <c r="P105" s="579"/>
      <c r="Q105" s="579"/>
      <c r="R105" s="578"/>
      <c r="S105" s="578"/>
      <c r="T105" s="616"/>
      <c r="U105" s="578"/>
      <c r="V105" s="616"/>
      <c r="W105" s="578"/>
      <c r="X105" s="616"/>
      <c r="Y105" s="578"/>
      <c r="Z105" s="625"/>
    </row>
    <row r="106" spans="1:26" s="74" customFormat="1">
      <c r="A106" s="576"/>
      <c r="B106" s="580" t="s">
        <v>513</v>
      </c>
      <c r="C106" s="581">
        <v>0</v>
      </c>
      <c r="D106" s="582">
        <v>0</v>
      </c>
      <c r="E106" s="582">
        <v>0</v>
      </c>
      <c r="F106" s="582">
        <v>0</v>
      </c>
      <c r="G106" s="582">
        <v>0</v>
      </c>
      <c r="H106" s="582">
        <v>0</v>
      </c>
      <c r="I106" s="581">
        <v>0</v>
      </c>
      <c r="J106" s="581">
        <v>0</v>
      </c>
      <c r="K106" s="582">
        <v>0</v>
      </c>
      <c r="L106" s="582">
        <v>0</v>
      </c>
      <c r="M106" s="582">
        <v>0</v>
      </c>
      <c r="N106" s="581">
        <v>0</v>
      </c>
      <c r="O106" s="581">
        <v>0</v>
      </c>
      <c r="P106" s="582">
        <v>0</v>
      </c>
      <c r="Q106" s="582">
        <v>0</v>
      </c>
      <c r="R106" s="581">
        <v>0</v>
      </c>
      <c r="S106" s="581">
        <v>0</v>
      </c>
      <c r="T106" s="617">
        <v>0</v>
      </c>
      <c r="U106" s="581">
        <v>0</v>
      </c>
      <c r="V106" s="617">
        <v>0</v>
      </c>
      <c r="W106" s="581">
        <v>0</v>
      </c>
      <c r="X106" s="617">
        <v>0</v>
      </c>
      <c r="Y106" s="581">
        <v>0</v>
      </c>
      <c r="Z106" s="626">
        <v>0</v>
      </c>
    </row>
    <row r="107" spans="1:26" s="74" customFormat="1">
      <c r="A107" s="576"/>
      <c r="B107" s="577" t="s">
        <v>501</v>
      </c>
      <c r="C107" s="578">
        <v>4827.291666666667</v>
      </c>
      <c r="D107" s="579">
        <v>3601.5833333333335</v>
      </c>
      <c r="E107" s="579"/>
      <c r="F107" s="579">
        <v>978.58333333333326</v>
      </c>
      <c r="G107" s="579">
        <v>462.33333333333337</v>
      </c>
      <c r="H107" s="579"/>
      <c r="I107" s="578">
        <v>9869.7916666666679</v>
      </c>
      <c r="J107" s="578"/>
      <c r="K107" s="579">
        <v>0</v>
      </c>
      <c r="L107" s="579">
        <v>0</v>
      </c>
      <c r="M107" s="579">
        <v>0</v>
      </c>
      <c r="N107" s="578">
        <v>0</v>
      </c>
      <c r="O107" s="578"/>
      <c r="P107" s="579"/>
      <c r="Q107" s="579"/>
      <c r="R107" s="578"/>
      <c r="S107" s="578"/>
      <c r="T107" s="616"/>
      <c r="U107" s="578"/>
      <c r="V107" s="616"/>
      <c r="W107" s="578"/>
      <c r="X107" s="616"/>
      <c r="Y107" s="578"/>
      <c r="Z107" s="625"/>
    </row>
    <row r="108" spans="1:26" s="74" customFormat="1">
      <c r="A108" s="576"/>
      <c r="B108" s="577" t="s">
        <v>503</v>
      </c>
      <c r="C108" s="578">
        <v>4872.8333333333339</v>
      </c>
      <c r="D108" s="579">
        <v>3460.541666666667</v>
      </c>
      <c r="E108" s="579"/>
      <c r="F108" s="579">
        <v>1004.1666666666666</v>
      </c>
      <c r="G108" s="579">
        <v>410.33333333333337</v>
      </c>
      <c r="H108" s="579"/>
      <c r="I108" s="578">
        <v>9747.875</v>
      </c>
      <c r="J108" s="578"/>
      <c r="K108" s="579">
        <v>0</v>
      </c>
      <c r="L108" s="579">
        <v>0</v>
      </c>
      <c r="M108" s="579">
        <v>0</v>
      </c>
      <c r="N108" s="578">
        <v>0</v>
      </c>
      <c r="O108" s="578"/>
      <c r="P108" s="579"/>
      <c r="Q108" s="579"/>
      <c r="R108" s="578"/>
      <c r="S108" s="578"/>
      <c r="T108" s="616"/>
      <c r="U108" s="578"/>
      <c r="V108" s="616"/>
      <c r="W108" s="578"/>
      <c r="X108" s="616"/>
      <c r="Y108" s="578"/>
      <c r="Z108" s="625"/>
    </row>
    <row r="109" spans="1:26" s="74" customFormat="1">
      <c r="A109" s="576"/>
      <c r="B109" s="580" t="s">
        <v>505</v>
      </c>
      <c r="C109" s="581">
        <v>0.94342065512926265</v>
      </c>
      <c r="D109" s="582">
        <v>-3.9161017145237</v>
      </c>
      <c r="E109" s="582">
        <v>0</v>
      </c>
      <c r="F109" s="582">
        <v>2.614323426722307</v>
      </c>
      <c r="G109" s="582">
        <v>-11.247296322999279</v>
      </c>
      <c r="H109" s="582">
        <v>0</v>
      </c>
      <c r="I109" s="581">
        <v>-1.2352506596305826</v>
      </c>
      <c r="J109" s="581">
        <v>0</v>
      </c>
      <c r="K109" s="582">
        <v>0</v>
      </c>
      <c r="L109" s="582">
        <v>0</v>
      </c>
      <c r="M109" s="582">
        <v>0</v>
      </c>
      <c r="N109" s="581">
        <v>0</v>
      </c>
      <c r="O109" s="581">
        <v>0</v>
      </c>
      <c r="P109" s="582">
        <v>0</v>
      </c>
      <c r="Q109" s="582">
        <v>0</v>
      </c>
      <c r="R109" s="581">
        <v>0</v>
      </c>
      <c r="S109" s="581">
        <v>0</v>
      </c>
      <c r="T109" s="617">
        <v>0</v>
      </c>
      <c r="U109" s="581">
        <v>0</v>
      </c>
      <c r="V109" s="617">
        <v>0</v>
      </c>
      <c r="W109" s="581">
        <v>0</v>
      </c>
      <c r="X109" s="617">
        <v>0</v>
      </c>
      <c r="Y109" s="581">
        <v>0</v>
      </c>
      <c r="Z109" s="626">
        <v>0</v>
      </c>
    </row>
    <row r="110" spans="1:26" s="74" customFormat="1">
      <c r="A110" s="576"/>
      <c r="B110" s="577" t="s">
        <v>67</v>
      </c>
      <c r="C110" s="578">
        <v>27412.058333333334</v>
      </c>
      <c r="D110" s="579">
        <v>21435.350000000002</v>
      </c>
      <c r="E110" s="579"/>
      <c r="F110" s="579">
        <v>6613.75</v>
      </c>
      <c r="G110" s="579">
        <v>4901.4333333333334</v>
      </c>
      <c r="H110" s="579"/>
      <c r="I110" s="578">
        <v>60362.591666666674</v>
      </c>
      <c r="J110" s="578"/>
      <c r="K110" s="579">
        <v>20479.5</v>
      </c>
      <c r="L110" s="579">
        <v>32813.26666666667</v>
      </c>
      <c r="M110" s="579">
        <v>3290.2</v>
      </c>
      <c r="N110" s="578">
        <v>56582.966666666667</v>
      </c>
      <c r="O110" s="578"/>
      <c r="P110" s="579"/>
      <c r="Q110" s="579"/>
      <c r="R110" s="578"/>
      <c r="S110" s="578"/>
      <c r="T110" s="616"/>
      <c r="U110" s="578"/>
      <c r="V110" s="616"/>
      <c r="W110" s="578"/>
      <c r="X110" s="616"/>
      <c r="Y110" s="578"/>
      <c r="Z110" s="625"/>
    </row>
    <row r="111" spans="1:26" s="74" customFormat="1">
      <c r="A111" s="576"/>
      <c r="B111" s="577" t="s">
        <v>507</v>
      </c>
      <c r="C111" s="578">
        <v>28079.316666666666</v>
      </c>
      <c r="D111" s="579">
        <v>20963.908333333333</v>
      </c>
      <c r="E111" s="579"/>
      <c r="F111" s="579">
        <v>6329.4</v>
      </c>
      <c r="G111" s="579">
        <v>4607.6666666666661</v>
      </c>
      <c r="H111" s="579"/>
      <c r="I111" s="578">
        <v>59980.291666666664</v>
      </c>
      <c r="J111" s="578"/>
      <c r="K111" s="579">
        <v>21342.799999999999</v>
      </c>
      <c r="L111" s="579">
        <v>34138.933333333334</v>
      </c>
      <c r="M111" s="579">
        <v>3109.9333333333334</v>
      </c>
      <c r="N111" s="578">
        <v>58591.666666666672</v>
      </c>
      <c r="O111" s="578"/>
      <c r="P111" s="579"/>
      <c r="Q111" s="579"/>
      <c r="R111" s="578"/>
      <c r="S111" s="578"/>
      <c r="T111" s="616"/>
      <c r="U111" s="578"/>
      <c r="V111" s="616"/>
      <c r="W111" s="578"/>
      <c r="X111" s="616"/>
      <c r="Y111" s="578"/>
      <c r="Z111" s="625"/>
    </row>
    <row r="112" spans="1:26" s="74" customFormat="1">
      <c r="A112" s="604"/>
      <c r="B112" s="608" t="s">
        <v>509</v>
      </c>
      <c r="C112" s="578">
        <v>2.4341781460531138</v>
      </c>
      <c r="D112" s="579">
        <v>-2.1993653785297154</v>
      </c>
      <c r="E112" s="579">
        <v>0</v>
      </c>
      <c r="F112" s="579">
        <v>-4.2993762993763047</v>
      </c>
      <c r="G112" s="579">
        <v>-5.9934848989751437</v>
      </c>
      <c r="H112" s="579">
        <v>0</v>
      </c>
      <c r="I112" s="578">
        <v>-0.63333927428288872</v>
      </c>
      <c r="J112" s="578">
        <v>0</v>
      </c>
      <c r="K112" s="579">
        <v>4.2154349471422607</v>
      </c>
      <c r="L112" s="579">
        <v>4.0400325884449098</v>
      </c>
      <c r="M112" s="579">
        <v>-5.4788969262253486</v>
      </c>
      <c r="N112" s="578">
        <v>3.5500082769313526</v>
      </c>
      <c r="O112" s="578">
        <v>0</v>
      </c>
      <c r="P112" s="579">
        <v>0</v>
      </c>
      <c r="Q112" s="579">
        <v>0</v>
      </c>
      <c r="R112" s="578">
        <v>0</v>
      </c>
      <c r="S112" s="578">
        <v>0</v>
      </c>
      <c r="T112" s="616">
        <v>0</v>
      </c>
      <c r="U112" s="578">
        <v>0</v>
      </c>
      <c r="V112" s="616">
        <v>0</v>
      </c>
      <c r="W112" s="578">
        <v>0</v>
      </c>
      <c r="X112" s="616">
        <v>0</v>
      </c>
      <c r="Y112" s="578">
        <v>0</v>
      </c>
      <c r="Z112" s="625">
        <v>0</v>
      </c>
    </row>
    <row r="113" spans="1:26" s="74" customFormat="1">
      <c r="A113" s="575" t="s">
        <v>596</v>
      </c>
      <c r="B113" s="573" t="s">
        <v>499</v>
      </c>
      <c r="C113" s="570">
        <v>38732.933333333334</v>
      </c>
      <c r="D113" s="574">
        <v>28107</v>
      </c>
      <c r="E113" s="574">
        <v>64240.966666666667</v>
      </c>
      <c r="F113" s="574">
        <v>5785.2333333333336</v>
      </c>
      <c r="G113" s="574">
        <v>9921.7999999999993</v>
      </c>
      <c r="H113" s="574">
        <v>6012.6</v>
      </c>
      <c r="I113" s="570">
        <v>152800.53333333333</v>
      </c>
      <c r="J113" s="570"/>
      <c r="K113" s="574">
        <v>99516.37</v>
      </c>
      <c r="L113" s="574">
        <v>103911.92999999998</v>
      </c>
      <c r="M113" s="574">
        <v>18109.589999999997</v>
      </c>
      <c r="N113" s="570">
        <v>221537.88999999998</v>
      </c>
      <c r="O113" s="570"/>
      <c r="P113" s="574"/>
      <c r="Q113" s="574"/>
      <c r="R113" s="570"/>
      <c r="S113" s="570"/>
      <c r="T113" s="615"/>
      <c r="U113" s="570"/>
      <c r="V113" s="615"/>
      <c r="W113" s="570"/>
      <c r="X113" s="615"/>
      <c r="Y113" s="570"/>
      <c r="Z113" s="624"/>
    </row>
    <row r="114" spans="1:26" s="74" customFormat="1">
      <c r="A114" s="576"/>
      <c r="B114" s="577" t="s">
        <v>497</v>
      </c>
      <c r="C114" s="578">
        <v>39711.600000000006</v>
      </c>
      <c r="D114" s="579">
        <v>29717.433333333334</v>
      </c>
      <c r="E114" s="579">
        <v>65582.566666666666</v>
      </c>
      <c r="F114" s="579">
        <v>5580.333333333333</v>
      </c>
      <c r="G114" s="579">
        <v>10490.833333333334</v>
      </c>
      <c r="H114" s="579">
        <v>6071.4</v>
      </c>
      <c r="I114" s="578">
        <v>157154.16666666669</v>
      </c>
      <c r="J114" s="578"/>
      <c r="K114" s="579">
        <v>105422</v>
      </c>
      <c r="L114" s="579">
        <v>107798</v>
      </c>
      <c r="M114" s="579">
        <v>18517</v>
      </c>
      <c r="N114" s="578">
        <v>231737</v>
      </c>
      <c r="O114" s="578"/>
      <c r="P114" s="579"/>
      <c r="Q114" s="579"/>
      <c r="R114" s="578"/>
      <c r="S114" s="578"/>
      <c r="T114" s="616"/>
      <c r="U114" s="578"/>
      <c r="V114" s="616"/>
      <c r="W114" s="578"/>
      <c r="X114" s="616"/>
      <c r="Y114" s="578"/>
      <c r="Z114" s="625"/>
    </row>
    <row r="115" spans="1:26" s="74" customFormat="1">
      <c r="A115" s="576"/>
      <c r="B115" s="580" t="s">
        <v>511</v>
      </c>
      <c r="C115" s="581">
        <v>2.5267042344671498</v>
      </c>
      <c r="D115" s="582">
        <v>5.7296521625692325</v>
      </c>
      <c r="E115" s="582">
        <v>2.088387005384412</v>
      </c>
      <c r="F115" s="582">
        <v>-3.5417759007127438</v>
      </c>
      <c r="G115" s="582">
        <v>5.7351824601718917</v>
      </c>
      <c r="H115" s="582">
        <v>0.97794631274322696</v>
      </c>
      <c r="I115" s="581">
        <v>2.8492265297503496</v>
      </c>
      <c r="J115" s="581">
        <v>0</v>
      </c>
      <c r="K115" s="582">
        <v>5.9343302011518357</v>
      </c>
      <c r="L115" s="582">
        <v>3.7397727094473394</v>
      </c>
      <c r="M115" s="582">
        <v>2.2496920140102761</v>
      </c>
      <c r="N115" s="581">
        <v>4.6037768076602994</v>
      </c>
      <c r="O115" s="581">
        <v>0</v>
      </c>
      <c r="P115" s="582">
        <v>0</v>
      </c>
      <c r="Q115" s="582">
        <v>0</v>
      </c>
      <c r="R115" s="581">
        <v>0</v>
      </c>
      <c r="S115" s="581">
        <v>0</v>
      </c>
      <c r="T115" s="617">
        <v>0</v>
      </c>
      <c r="U115" s="581">
        <v>0</v>
      </c>
      <c r="V115" s="617">
        <v>0</v>
      </c>
      <c r="W115" s="581">
        <v>0</v>
      </c>
      <c r="X115" s="617">
        <v>0</v>
      </c>
      <c r="Y115" s="581">
        <v>0</v>
      </c>
      <c r="Z115" s="626">
        <v>0</v>
      </c>
    </row>
    <row r="116" spans="1:26" s="74" customFormat="1">
      <c r="A116" s="576"/>
      <c r="B116" s="577" t="s">
        <v>495</v>
      </c>
      <c r="C116" s="578">
        <v>0</v>
      </c>
      <c r="D116" s="579">
        <v>0</v>
      </c>
      <c r="E116" s="579">
        <v>0</v>
      </c>
      <c r="F116" s="579">
        <v>0</v>
      </c>
      <c r="G116" s="579">
        <v>0</v>
      </c>
      <c r="H116" s="579">
        <v>0</v>
      </c>
      <c r="I116" s="578">
        <v>0</v>
      </c>
      <c r="J116" s="578"/>
      <c r="K116" s="579">
        <v>0</v>
      </c>
      <c r="L116" s="579">
        <v>0</v>
      </c>
      <c r="M116" s="579">
        <v>0</v>
      </c>
      <c r="N116" s="578">
        <v>0</v>
      </c>
      <c r="O116" s="578"/>
      <c r="P116" s="579"/>
      <c r="Q116" s="579"/>
      <c r="R116" s="578"/>
      <c r="S116" s="578"/>
      <c r="T116" s="616"/>
      <c r="U116" s="578"/>
      <c r="V116" s="616"/>
      <c r="W116" s="578"/>
      <c r="X116" s="616"/>
      <c r="Y116" s="578"/>
      <c r="Z116" s="625"/>
    </row>
    <row r="117" spans="1:26" s="74" customFormat="1">
      <c r="A117" s="576"/>
      <c r="B117" s="577" t="s">
        <v>493</v>
      </c>
      <c r="C117" s="578">
        <v>0</v>
      </c>
      <c r="D117" s="579">
        <v>0</v>
      </c>
      <c r="E117" s="579">
        <v>0</v>
      </c>
      <c r="F117" s="579">
        <v>0</v>
      </c>
      <c r="G117" s="579">
        <v>0</v>
      </c>
      <c r="H117" s="579">
        <v>0</v>
      </c>
      <c r="I117" s="578">
        <v>0</v>
      </c>
      <c r="J117" s="578"/>
      <c r="K117" s="579">
        <v>0</v>
      </c>
      <c r="L117" s="579">
        <v>0</v>
      </c>
      <c r="M117" s="579">
        <v>0</v>
      </c>
      <c r="N117" s="578">
        <v>0</v>
      </c>
      <c r="O117" s="578"/>
      <c r="P117" s="579"/>
      <c r="Q117" s="579"/>
      <c r="R117" s="578"/>
      <c r="S117" s="578"/>
      <c r="T117" s="616"/>
      <c r="U117" s="578"/>
      <c r="V117" s="616"/>
      <c r="W117" s="578"/>
      <c r="X117" s="616"/>
      <c r="Y117" s="578"/>
      <c r="Z117" s="625"/>
    </row>
    <row r="118" spans="1:26" s="74" customFormat="1">
      <c r="A118" s="576"/>
      <c r="B118" s="580" t="s">
        <v>513</v>
      </c>
      <c r="C118" s="581">
        <v>0</v>
      </c>
      <c r="D118" s="582">
        <v>0</v>
      </c>
      <c r="E118" s="582">
        <v>0</v>
      </c>
      <c r="F118" s="582">
        <v>0</v>
      </c>
      <c r="G118" s="582">
        <v>0</v>
      </c>
      <c r="H118" s="582">
        <v>0</v>
      </c>
      <c r="I118" s="581">
        <v>0</v>
      </c>
      <c r="J118" s="581">
        <v>0</v>
      </c>
      <c r="K118" s="582">
        <v>0</v>
      </c>
      <c r="L118" s="582">
        <v>0</v>
      </c>
      <c r="M118" s="582">
        <v>0</v>
      </c>
      <c r="N118" s="581">
        <v>0</v>
      </c>
      <c r="O118" s="581">
        <v>0</v>
      </c>
      <c r="P118" s="582">
        <v>0</v>
      </c>
      <c r="Q118" s="582">
        <v>0</v>
      </c>
      <c r="R118" s="581">
        <v>0</v>
      </c>
      <c r="S118" s="581">
        <v>0</v>
      </c>
      <c r="T118" s="617">
        <v>0</v>
      </c>
      <c r="U118" s="581">
        <v>0</v>
      </c>
      <c r="V118" s="617">
        <v>0</v>
      </c>
      <c r="W118" s="581">
        <v>0</v>
      </c>
      <c r="X118" s="617">
        <v>0</v>
      </c>
      <c r="Y118" s="581">
        <v>0</v>
      </c>
      <c r="Z118" s="626">
        <v>0</v>
      </c>
    </row>
    <row r="119" spans="1:26" s="74" customFormat="1">
      <c r="A119" s="576"/>
      <c r="B119" s="577" t="s">
        <v>501</v>
      </c>
      <c r="C119" s="578">
        <v>12597.75</v>
      </c>
      <c r="D119" s="579">
        <v>5588.1666666666661</v>
      </c>
      <c r="E119" s="579">
        <v>10228</v>
      </c>
      <c r="F119" s="579">
        <v>530.33333333333337</v>
      </c>
      <c r="G119" s="579">
        <v>708.375</v>
      </c>
      <c r="H119" s="579">
        <v>67.666666666666657</v>
      </c>
      <c r="I119" s="578">
        <v>29720.291666666664</v>
      </c>
      <c r="J119" s="578"/>
      <c r="K119" s="579">
        <v>0</v>
      </c>
      <c r="L119" s="579">
        <v>0</v>
      </c>
      <c r="M119" s="579">
        <v>0</v>
      </c>
      <c r="N119" s="578">
        <v>0</v>
      </c>
      <c r="O119" s="578"/>
      <c r="P119" s="579"/>
      <c r="Q119" s="579"/>
      <c r="R119" s="578"/>
      <c r="S119" s="578"/>
      <c r="T119" s="616"/>
      <c r="U119" s="578"/>
      <c r="V119" s="616"/>
      <c r="W119" s="578"/>
      <c r="X119" s="616"/>
      <c r="Y119" s="578"/>
      <c r="Z119" s="625"/>
    </row>
    <row r="120" spans="1:26" s="74" customFormat="1">
      <c r="A120" s="576"/>
      <c r="B120" s="577" t="s">
        <v>503</v>
      </c>
      <c r="C120" s="578">
        <v>12652.666666666666</v>
      </c>
      <c r="D120" s="579">
        <v>5739.625</v>
      </c>
      <c r="E120" s="579">
        <v>10840.833333333334</v>
      </c>
      <c r="F120" s="579">
        <v>471.41666666666669</v>
      </c>
      <c r="G120" s="579">
        <v>796.08333333333326</v>
      </c>
      <c r="H120" s="579">
        <v>48.791666666666671</v>
      </c>
      <c r="I120" s="578">
        <v>30549.416666666668</v>
      </c>
      <c r="J120" s="578"/>
      <c r="K120" s="579">
        <v>0</v>
      </c>
      <c r="L120" s="579">
        <v>0</v>
      </c>
      <c r="M120" s="579">
        <v>0</v>
      </c>
      <c r="N120" s="578">
        <v>0</v>
      </c>
      <c r="O120" s="578"/>
      <c r="P120" s="579"/>
      <c r="Q120" s="579"/>
      <c r="R120" s="578"/>
      <c r="S120" s="578"/>
      <c r="T120" s="616"/>
      <c r="U120" s="578"/>
      <c r="V120" s="616"/>
      <c r="W120" s="578"/>
      <c r="X120" s="616"/>
      <c r="Y120" s="578"/>
      <c r="Z120" s="625"/>
    </row>
    <row r="121" spans="1:26" s="74" customFormat="1">
      <c r="A121" s="576"/>
      <c r="B121" s="580" t="s">
        <v>505</v>
      </c>
      <c r="C121" s="581">
        <v>0.43592440449021497</v>
      </c>
      <c r="D121" s="582">
        <v>2.7103403024247781</v>
      </c>
      <c r="E121" s="582">
        <v>5.9917220701342773</v>
      </c>
      <c r="F121" s="582">
        <v>-11.109365179132624</v>
      </c>
      <c r="G121" s="582">
        <v>12.381624610317029</v>
      </c>
      <c r="H121" s="582">
        <v>-27.894088669950722</v>
      </c>
      <c r="I121" s="581">
        <v>2.7897606433314817</v>
      </c>
      <c r="J121" s="581">
        <v>0</v>
      </c>
      <c r="K121" s="582">
        <v>0</v>
      </c>
      <c r="L121" s="582">
        <v>0</v>
      </c>
      <c r="M121" s="582">
        <v>0</v>
      </c>
      <c r="N121" s="581">
        <v>0</v>
      </c>
      <c r="O121" s="581">
        <v>0</v>
      </c>
      <c r="P121" s="582">
        <v>0</v>
      </c>
      <c r="Q121" s="582">
        <v>0</v>
      </c>
      <c r="R121" s="581">
        <v>0</v>
      </c>
      <c r="S121" s="581">
        <v>0</v>
      </c>
      <c r="T121" s="617">
        <v>0</v>
      </c>
      <c r="U121" s="581">
        <v>0</v>
      </c>
      <c r="V121" s="617">
        <v>0</v>
      </c>
      <c r="W121" s="581">
        <v>0</v>
      </c>
      <c r="X121" s="617">
        <v>0</v>
      </c>
      <c r="Y121" s="581">
        <v>0</v>
      </c>
      <c r="Z121" s="626">
        <v>0</v>
      </c>
    </row>
    <row r="122" spans="1:26" s="74" customFormat="1">
      <c r="A122" s="576"/>
      <c r="B122" s="577" t="s">
        <v>67</v>
      </c>
      <c r="C122" s="578">
        <v>51330.683333333334</v>
      </c>
      <c r="D122" s="579">
        <v>33695.166666666664</v>
      </c>
      <c r="E122" s="579">
        <v>74468.966666666674</v>
      </c>
      <c r="F122" s="579">
        <v>6315.5666666666666</v>
      </c>
      <c r="G122" s="579">
        <v>10630.174999999999</v>
      </c>
      <c r="H122" s="579">
        <v>6080.2666666666664</v>
      </c>
      <c r="I122" s="578">
        <v>182520.82500000001</v>
      </c>
      <c r="J122" s="578"/>
      <c r="K122" s="579">
        <v>99516.37</v>
      </c>
      <c r="L122" s="579">
        <v>103911.92999999998</v>
      </c>
      <c r="M122" s="579">
        <v>18109.589999999997</v>
      </c>
      <c r="N122" s="578">
        <v>221537.88999999998</v>
      </c>
      <c r="O122" s="578"/>
      <c r="P122" s="579"/>
      <c r="Q122" s="579"/>
      <c r="R122" s="578"/>
      <c r="S122" s="578"/>
      <c r="T122" s="616"/>
      <c r="U122" s="578"/>
      <c r="V122" s="616"/>
      <c r="W122" s="578"/>
      <c r="X122" s="616"/>
      <c r="Y122" s="578"/>
      <c r="Z122" s="625"/>
    </row>
    <row r="123" spans="1:26" s="74" customFormat="1">
      <c r="A123" s="576"/>
      <c r="B123" s="577" t="s">
        <v>507</v>
      </c>
      <c r="C123" s="578">
        <v>52364.266666666663</v>
      </c>
      <c r="D123" s="579">
        <v>35457.058333333334</v>
      </c>
      <c r="E123" s="579">
        <v>76423.399999999994</v>
      </c>
      <c r="F123" s="579">
        <v>6051.75</v>
      </c>
      <c r="G123" s="579">
        <v>11286.916666666668</v>
      </c>
      <c r="H123" s="579">
        <v>6120.1916666666666</v>
      </c>
      <c r="I123" s="578">
        <v>187703.58333333331</v>
      </c>
      <c r="J123" s="578"/>
      <c r="K123" s="579">
        <v>105422</v>
      </c>
      <c r="L123" s="579">
        <v>107798</v>
      </c>
      <c r="M123" s="579">
        <v>18517</v>
      </c>
      <c r="N123" s="578">
        <v>231737</v>
      </c>
      <c r="O123" s="578"/>
      <c r="P123" s="579"/>
      <c r="Q123" s="579"/>
      <c r="R123" s="578"/>
      <c r="S123" s="578"/>
      <c r="T123" s="616"/>
      <c r="U123" s="578"/>
      <c r="V123" s="616"/>
      <c r="W123" s="578"/>
      <c r="X123" s="616"/>
      <c r="Y123" s="578"/>
      <c r="Z123" s="625"/>
    </row>
    <row r="124" spans="1:26" s="74" customFormat="1">
      <c r="A124" s="604"/>
      <c r="B124" s="608" t="s">
        <v>509</v>
      </c>
      <c r="C124" s="578">
        <v>2.0135779736681116</v>
      </c>
      <c r="D124" s="579">
        <v>5.2289151263039813</v>
      </c>
      <c r="E124" s="579">
        <v>2.6244936928984552</v>
      </c>
      <c r="F124" s="579">
        <v>-4.1772445861284542</v>
      </c>
      <c r="G124" s="579">
        <v>6.1780889464817719</v>
      </c>
      <c r="H124" s="579">
        <v>0.65663238454454054</v>
      </c>
      <c r="I124" s="578">
        <v>2.8395435607598758</v>
      </c>
      <c r="J124" s="578">
        <v>0</v>
      </c>
      <c r="K124" s="579">
        <v>5.9343302011518357</v>
      </c>
      <c r="L124" s="579">
        <v>3.7397727094473394</v>
      </c>
      <c r="M124" s="579">
        <v>2.2496920140102761</v>
      </c>
      <c r="N124" s="578">
        <v>4.6037768076602994</v>
      </c>
      <c r="O124" s="578">
        <v>0</v>
      </c>
      <c r="P124" s="579">
        <v>0</v>
      </c>
      <c r="Q124" s="579">
        <v>0</v>
      </c>
      <c r="R124" s="578">
        <v>0</v>
      </c>
      <c r="S124" s="578">
        <v>0</v>
      </c>
      <c r="T124" s="616">
        <v>0</v>
      </c>
      <c r="U124" s="578">
        <v>0</v>
      </c>
      <c r="V124" s="616">
        <v>0</v>
      </c>
      <c r="W124" s="578">
        <v>0</v>
      </c>
      <c r="X124" s="616">
        <v>0</v>
      </c>
      <c r="Y124" s="578">
        <v>0</v>
      </c>
      <c r="Z124" s="625">
        <v>0</v>
      </c>
    </row>
    <row r="125" spans="1:26" s="74" customFormat="1">
      <c r="A125" s="575" t="s">
        <v>724</v>
      </c>
      <c r="B125" s="573" t="s">
        <v>499</v>
      </c>
      <c r="C125" s="570">
        <v>35661.96666666666</v>
      </c>
      <c r="D125" s="574"/>
      <c r="E125" s="574">
        <v>17718.599999999999</v>
      </c>
      <c r="F125" s="574"/>
      <c r="G125" s="574">
        <v>18022.666666666668</v>
      </c>
      <c r="H125" s="574">
        <v>4964.4666666666672</v>
      </c>
      <c r="I125" s="570">
        <v>76367.699999999983</v>
      </c>
      <c r="J125" s="570">
        <v>2669.6333333333332</v>
      </c>
      <c r="K125" s="574">
        <v>18654.533333333333</v>
      </c>
      <c r="L125" s="574">
        <v>12064.633333333333</v>
      </c>
      <c r="M125" s="574">
        <v>11826.766666666666</v>
      </c>
      <c r="N125" s="570">
        <v>45215.566666666666</v>
      </c>
      <c r="O125" s="570">
        <v>0</v>
      </c>
      <c r="P125" s="574">
        <v>0</v>
      </c>
      <c r="Q125" s="574"/>
      <c r="R125" s="570">
        <v>0</v>
      </c>
      <c r="S125" s="570"/>
      <c r="T125" s="615"/>
      <c r="U125" s="570"/>
      <c r="V125" s="615"/>
      <c r="W125" s="570"/>
      <c r="X125" s="615"/>
      <c r="Y125" s="570"/>
      <c r="Z125" s="624"/>
    </row>
    <row r="126" spans="1:26" s="74" customFormat="1">
      <c r="A126" s="576"/>
      <c r="B126" s="577" t="s">
        <v>497</v>
      </c>
      <c r="C126" s="578">
        <v>35448.300000000003</v>
      </c>
      <c r="D126" s="579"/>
      <c r="E126" s="579">
        <v>16879.2</v>
      </c>
      <c r="F126" s="579"/>
      <c r="G126" s="579">
        <v>17622.233333333334</v>
      </c>
      <c r="H126" s="579">
        <v>4970.333333333333</v>
      </c>
      <c r="I126" s="578">
        <v>74920.066666666666</v>
      </c>
      <c r="J126" s="578">
        <v>2935.6</v>
      </c>
      <c r="K126" s="579">
        <v>19308.033333333333</v>
      </c>
      <c r="L126" s="579">
        <v>11911.066666666666</v>
      </c>
      <c r="M126" s="579">
        <v>12074.1</v>
      </c>
      <c r="N126" s="578">
        <v>46228.799999999996</v>
      </c>
      <c r="O126" s="578">
        <v>0</v>
      </c>
      <c r="P126" s="579">
        <v>0</v>
      </c>
      <c r="Q126" s="579"/>
      <c r="R126" s="578">
        <v>0</v>
      </c>
      <c r="S126" s="578"/>
      <c r="T126" s="616"/>
      <c r="U126" s="578"/>
      <c r="V126" s="616"/>
      <c r="W126" s="578"/>
      <c r="X126" s="616"/>
      <c r="Y126" s="578"/>
      <c r="Z126" s="625"/>
    </row>
    <row r="127" spans="1:26" s="74" customFormat="1">
      <c r="A127" s="576"/>
      <c r="B127" s="580" t="s">
        <v>511</v>
      </c>
      <c r="C127" s="581">
        <v>-0.5991443732304641</v>
      </c>
      <c r="D127" s="582">
        <v>0</v>
      </c>
      <c r="E127" s="582">
        <v>-4.7373946022823352</v>
      </c>
      <c r="F127" s="582">
        <v>0</v>
      </c>
      <c r="G127" s="582">
        <v>-2.2218317674040153</v>
      </c>
      <c r="H127" s="582">
        <v>0.11817315052303459</v>
      </c>
      <c r="I127" s="581">
        <v>-1.8956094439577047</v>
      </c>
      <c r="J127" s="581">
        <v>9.9626665334815048</v>
      </c>
      <c r="K127" s="582">
        <v>3.5031699175892905</v>
      </c>
      <c r="L127" s="582">
        <v>-1.2728664222424291</v>
      </c>
      <c r="M127" s="582">
        <v>2.0913013700560645</v>
      </c>
      <c r="N127" s="581">
        <v>2.2408949130351052</v>
      </c>
      <c r="O127" s="581">
        <v>0</v>
      </c>
      <c r="P127" s="582">
        <v>0</v>
      </c>
      <c r="Q127" s="582">
        <v>0</v>
      </c>
      <c r="R127" s="581">
        <v>0</v>
      </c>
      <c r="S127" s="581">
        <v>0</v>
      </c>
      <c r="T127" s="617">
        <v>0</v>
      </c>
      <c r="U127" s="581">
        <v>0</v>
      </c>
      <c r="V127" s="617">
        <v>0</v>
      </c>
      <c r="W127" s="581">
        <v>0</v>
      </c>
      <c r="X127" s="617">
        <v>0</v>
      </c>
      <c r="Y127" s="581">
        <v>0</v>
      </c>
      <c r="Z127" s="626">
        <v>0</v>
      </c>
    </row>
    <row r="128" spans="1:26" s="74" customFormat="1">
      <c r="A128" s="576"/>
      <c r="B128" s="577" t="s">
        <v>495</v>
      </c>
      <c r="C128" s="578">
        <v>0</v>
      </c>
      <c r="D128" s="579"/>
      <c r="E128" s="579">
        <v>0</v>
      </c>
      <c r="F128" s="579"/>
      <c r="G128" s="579">
        <v>0</v>
      </c>
      <c r="H128" s="579">
        <v>0</v>
      </c>
      <c r="I128" s="578">
        <v>0</v>
      </c>
      <c r="J128" s="578">
        <v>0</v>
      </c>
      <c r="K128" s="579">
        <v>0</v>
      </c>
      <c r="L128" s="579">
        <v>0</v>
      </c>
      <c r="M128" s="579">
        <v>0</v>
      </c>
      <c r="N128" s="578">
        <v>0</v>
      </c>
      <c r="O128" s="578">
        <v>6980.4503777777791</v>
      </c>
      <c r="P128" s="579">
        <v>14620.030233333329</v>
      </c>
      <c r="Q128" s="579"/>
      <c r="R128" s="578">
        <v>21600.48061111111</v>
      </c>
      <c r="S128" s="578"/>
      <c r="T128" s="616"/>
      <c r="U128" s="578"/>
      <c r="V128" s="616"/>
      <c r="W128" s="578"/>
      <c r="X128" s="616"/>
      <c r="Y128" s="578"/>
      <c r="Z128" s="625"/>
    </row>
    <row r="129" spans="1:26" s="74" customFormat="1">
      <c r="A129" s="576"/>
      <c r="B129" s="577" t="s">
        <v>493</v>
      </c>
      <c r="C129" s="578">
        <v>0</v>
      </c>
      <c r="D129" s="579"/>
      <c r="E129" s="579">
        <v>0</v>
      </c>
      <c r="F129" s="579"/>
      <c r="G129" s="579">
        <v>0</v>
      </c>
      <c r="H129" s="579">
        <v>0</v>
      </c>
      <c r="I129" s="578">
        <v>0</v>
      </c>
      <c r="J129" s="578">
        <v>0</v>
      </c>
      <c r="K129" s="579">
        <v>0</v>
      </c>
      <c r="L129" s="579">
        <v>0</v>
      </c>
      <c r="M129" s="579">
        <v>0</v>
      </c>
      <c r="N129" s="578">
        <v>0</v>
      </c>
      <c r="O129" s="578">
        <v>6714.8237444444449</v>
      </c>
      <c r="P129" s="579">
        <v>14398.366977777776</v>
      </c>
      <c r="Q129" s="579"/>
      <c r="R129" s="578">
        <v>21113.190722222222</v>
      </c>
      <c r="S129" s="578"/>
      <c r="T129" s="616"/>
      <c r="U129" s="578"/>
      <c r="V129" s="616"/>
      <c r="W129" s="578"/>
      <c r="X129" s="616"/>
      <c r="Y129" s="578"/>
      <c r="Z129" s="625"/>
    </row>
    <row r="130" spans="1:26" s="74" customFormat="1">
      <c r="A130" s="576"/>
      <c r="B130" s="580" t="s">
        <v>513</v>
      </c>
      <c r="C130" s="581">
        <v>0</v>
      </c>
      <c r="D130" s="582">
        <v>0</v>
      </c>
      <c r="E130" s="582">
        <v>0</v>
      </c>
      <c r="F130" s="582">
        <v>0</v>
      </c>
      <c r="G130" s="582">
        <v>0</v>
      </c>
      <c r="H130" s="582">
        <v>0</v>
      </c>
      <c r="I130" s="581">
        <v>0</v>
      </c>
      <c r="J130" s="581">
        <v>0</v>
      </c>
      <c r="K130" s="582">
        <v>0</v>
      </c>
      <c r="L130" s="582">
        <v>0</v>
      </c>
      <c r="M130" s="582">
        <v>0</v>
      </c>
      <c r="N130" s="581">
        <v>0</v>
      </c>
      <c r="O130" s="581">
        <v>-3.8052936265968591</v>
      </c>
      <c r="P130" s="582">
        <v>-1.5161614033476232</v>
      </c>
      <c r="Q130" s="582">
        <v>0</v>
      </c>
      <c r="R130" s="581">
        <v>-2.2559215124048237</v>
      </c>
      <c r="S130" s="581">
        <v>0</v>
      </c>
      <c r="T130" s="617">
        <v>0</v>
      </c>
      <c r="U130" s="581">
        <v>0</v>
      </c>
      <c r="V130" s="617">
        <v>0</v>
      </c>
      <c r="W130" s="581">
        <v>0</v>
      </c>
      <c r="X130" s="617">
        <v>0</v>
      </c>
      <c r="Y130" s="581">
        <v>0</v>
      </c>
      <c r="Z130" s="626">
        <v>0</v>
      </c>
    </row>
    <row r="131" spans="1:26" s="74" customFormat="1">
      <c r="A131" s="576"/>
      <c r="B131" s="577" t="s">
        <v>501</v>
      </c>
      <c r="C131" s="578">
        <v>7324.8333333333339</v>
      </c>
      <c r="D131" s="579"/>
      <c r="E131" s="579">
        <v>1546.7083333333335</v>
      </c>
      <c r="F131" s="579"/>
      <c r="G131" s="579">
        <v>1806.75</v>
      </c>
      <c r="H131" s="579">
        <v>0</v>
      </c>
      <c r="I131" s="578">
        <v>10678.291666666668</v>
      </c>
      <c r="J131" s="578">
        <v>0</v>
      </c>
      <c r="K131" s="579">
        <v>0</v>
      </c>
      <c r="L131" s="579">
        <v>0</v>
      </c>
      <c r="M131" s="579">
        <v>0</v>
      </c>
      <c r="N131" s="578">
        <v>0</v>
      </c>
      <c r="O131" s="578">
        <v>0</v>
      </c>
      <c r="P131" s="579">
        <v>0</v>
      </c>
      <c r="Q131" s="579"/>
      <c r="R131" s="578">
        <v>0</v>
      </c>
      <c r="S131" s="578"/>
      <c r="T131" s="616"/>
      <c r="U131" s="578"/>
      <c r="V131" s="616"/>
      <c r="W131" s="578"/>
      <c r="X131" s="616"/>
      <c r="Y131" s="578"/>
      <c r="Z131" s="625"/>
    </row>
    <row r="132" spans="1:26" s="74" customFormat="1">
      <c r="A132" s="576"/>
      <c r="B132" s="577" t="s">
        <v>503</v>
      </c>
      <c r="C132" s="578">
        <v>7581</v>
      </c>
      <c r="D132" s="579"/>
      <c r="E132" s="579">
        <v>1598.0416666666665</v>
      </c>
      <c r="F132" s="579"/>
      <c r="G132" s="579">
        <v>1839.7916666666667</v>
      </c>
      <c r="H132" s="579">
        <v>0</v>
      </c>
      <c r="I132" s="578">
        <v>11018.833333333332</v>
      </c>
      <c r="J132" s="578">
        <v>0</v>
      </c>
      <c r="K132" s="579">
        <v>0</v>
      </c>
      <c r="L132" s="579">
        <v>0</v>
      </c>
      <c r="M132" s="579">
        <v>0</v>
      </c>
      <c r="N132" s="578">
        <v>0</v>
      </c>
      <c r="O132" s="578">
        <v>0</v>
      </c>
      <c r="P132" s="579">
        <v>0</v>
      </c>
      <c r="Q132" s="579"/>
      <c r="R132" s="578">
        <v>0</v>
      </c>
      <c r="S132" s="578"/>
      <c r="T132" s="616"/>
      <c r="U132" s="578"/>
      <c r="V132" s="616"/>
      <c r="W132" s="578"/>
      <c r="X132" s="616"/>
      <c r="Y132" s="578"/>
      <c r="Z132" s="625"/>
    </row>
    <row r="133" spans="1:26" s="74" customFormat="1">
      <c r="A133" s="576"/>
      <c r="B133" s="580" t="s">
        <v>505</v>
      </c>
      <c r="C133" s="581">
        <v>3.4972354319779657</v>
      </c>
      <c r="D133" s="582">
        <v>0</v>
      </c>
      <c r="E133" s="582">
        <v>3.3188761078634532</v>
      </c>
      <c r="F133" s="582">
        <v>0</v>
      </c>
      <c r="G133" s="582">
        <v>1.8287901849545727</v>
      </c>
      <c r="H133" s="582">
        <v>0</v>
      </c>
      <c r="I133" s="581">
        <v>3.189102501570531</v>
      </c>
      <c r="J133" s="581">
        <v>0</v>
      </c>
      <c r="K133" s="582">
        <v>0</v>
      </c>
      <c r="L133" s="582">
        <v>0</v>
      </c>
      <c r="M133" s="582">
        <v>0</v>
      </c>
      <c r="N133" s="581">
        <v>0</v>
      </c>
      <c r="O133" s="581">
        <v>0</v>
      </c>
      <c r="P133" s="582">
        <v>0</v>
      </c>
      <c r="Q133" s="582">
        <v>0</v>
      </c>
      <c r="R133" s="581">
        <v>0</v>
      </c>
      <c r="S133" s="581">
        <v>0</v>
      </c>
      <c r="T133" s="617">
        <v>0</v>
      </c>
      <c r="U133" s="581">
        <v>0</v>
      </c>
      <c r="V133" s="617">
        <v>0</v>
      </c>
      <c r="W133" s="581">
        <v>0</v>
      </c>
      <c r="X133" s="617">
        <v>0</v>
      </c>
      <c r="Y133" s="581">
        <v>0</v>
      </c>
      <c r="Z133" s="626">
        <v>0</v>
      </c>
    </row>
    <row r="134" spans="1:26" s="74" customFormat="1">
      <c r="A134" s="576"/>
      <c r="B134" s="577" t="s">
        <v>67</v>
      </c>
      <c r="C134" s="578">
        <v>42986.8</v>
      </c>
      <c r="D134" s="579"/>
      <c r="E134" s="579">
        <v>19265.308333333334</v>
      </c>
      <c r="F134" s="579"/>
      <c r="G134" s="579">
        <v>19829.416666666668</v>
      </c>
      <c r="H134" s="579">
        <v>4964.4666666666672</v>
      </c>
      <c r="I134" s="578">
        <v>87045.991666666669</v>
      </c>
      <c r="J134" s="578">
        <v>2669.6333333333332</v>
      </c>
      <c r="K134" s="579">
        <v>18654.533333333333</v>
      </c>
      <c r="L134" s="579">
        <v>12064.633333333333</v>
      </c>
      <c r="M134" s="579">
        <v>11826.766666666666</v>
      </c>
      <c r="N134" s="578">
        <v>45215.566666666666</v>
      </c>
      <c r="O134" s="578">
        <v>6980.4503777777791</v>
      </c>
      <c r="P134" s="579">
        <v>14620.030233333329</v>
      </c>
      <c r="Q134" s="579"/>
      <c r="R134" s="578">
        <v>21600.48061111111</v>
      </c>
      <c r="S134" s="578"/>
      <c r="T134" s="616"/>
      <c r="U134" s="578"/>
      <c r="V134" s="616"/>
      <c r="W134" s="578"/>
      <c r="X134" s="616"/>
      <c r="Y134" s="578"/>
      <c r="Z134" s="625"/>
    </row>
    <row r="135" spans="1:26" s="74" customFormat="1">
      <c r="A135" s="576"/>
      <c r="B135" s="577" t="s">
        <v>507</v>
      </c>
      <c r="C135" s="578">
        <v>43029.3</v>
      </c>
      <c r="D135" s="579"/>
      <c r="E135" s="579">
        <v>18477.241666666665</v>
      </c>
      <c r="F135" s="579"/>
      <c r="G135" s="579">
        <v>19462.025000000001</v>
      </c>
      <c r="H135" s="579">
        <v>4970.333333333333</v>
      </c>
      <c r="I135" s="578">
        <v>85938.900000000009</v>
      </c>
      <c r="J135" s="578">
        <v>2935.6</v>
      </c>
      <c r="K135" s="579">
        <v>19308.033333333333</v>
      </c>
      <c r="L135" s="579">
        <v>11911.066666666666</v>
      </c>
      <c r="M135" s="579">
        <v>12074.1</v>
      </c>
      <c r="N135" s="578">
        <v>46228.799999999996</v>
      </c>
      <c r="O135" s="578">
        <v>6714.8237444444449</v>
      </c>
      <c r="P135" s="579">
        <v>14398.366977777776</v>
      </c>
      <c r="Q135" s="579"/>
      <c r="R135" s="578">
        <v>21113.190722222222</v>
      </c>
      <c r="S135" s="578"/>
      <c r="T135" s="616"/>
      <c r="U135" s="578"/>
      <c r="V135" s="616"/>
      <c r="W135" s="578"/>
      <c r="X135" s="616"/>
      <c r="Y135" s="578"/>
      <c r="Z135" s="625"/>
    </row>
    <row r="136" spans="1:26" s="74" customFormat="1">
      <c r="A136" s="604"/>
      <c r="B136" s="608" t="s">
        <v>509</v>
      </c>
      <c r="C136" s="578">
        <v>9.8867559343798539E-2</v>
      </c>
      <c r="D136" s="579">
        <v>0</v>
      </c>
      <c r="E136" s="579">
        <v>-4.090599813049117</v>
      </c>
      <c r="F136" s="579">
        <v>0</v>
      </c>
      <c r="G136" s="579">
        <v>-1.8527608393254118</v>
      </c>
      <c r="H136" s="579">
        <v>0.11817315052303459</v>
      </c>
      <c r="I136" s="578">
        <v>-1.2718468081863377</v>
      </c>
      <c r="J136" s="578">
        <v>9.9626665334815048</v>
      </c>
      <c r="K136" s="579">
        <v>3.5031699175892905</v>
      </c>
      <c r="L136" s="579">
        <v>-1.2728664222424291</v>
      </c>
      <c r="M136" s="579">
        <v>2.0913013700560645</v>
      </c>
      <c r="N136" s="578">
        <v>2.2408949130351052</v>
      </c>
      <c r="O136" s="578">
        <v>-3.8052936265968591</v>
      </c>
      <c r="P136" s="579">
        <v>-1.5161614033476232</v>
      </c>
      <c r="Q136" s="579">
        <v>0</v>
      </c>
      <c r="R136" s="578">
        <v>-2.2559215124048237</v>
      </c>
      <c r="S136" s="578">
        <v>0</v>
      </c>
      <c r="T136" s="616">
        <v>0</v>
      </c>
      <c r="U136" s="578">
        <v>0</v>
      </c>
      <c r="V136" s="616">
        <v>0</v>
      </c>
      <c r="W136" s="578">
        <v>0</v>
      </c>
      <c r="X136" s="616">
        <v>0</v>
      </c>
      <c r="Y136" s="578">
        <v>0</v>
      </c>
      <c r="Z136" s="625">
        <v>0</v>
      </c>
    </row>
    <row r="137" spans="1:26" s="74" customFormat="1">
      <c r="A137" s="575" t="s">
        <v>865</v>
      </c>
      <c r="B137" s="573" t="s">
        <v>499</v>
      </c>
      <c r="C137" s="570">
        <v>32684.866666666669</v>
      </c>
      <c r="D137" s="574"/>
      <c r="E137" s="574">
        <v>14337.7</v>
      </c>
      <c r="F137" s="574">
        <v>2691.6</v>
      </c>
      <c r="G137" s="574">
        <v>16279.766666666666</v>
      </c>
      <c r="H137" s="574">
        <v>7154.8000000000011</v>
      </c>
      <c r="I137" s="570">
        <v>73148.733333333337</v>
      </c>
      <c r="J137" s="570">
        <v>1094.6666666666667</v>
      </c>
      <c r="K137" s="574">
        <v>27950.609999999993</v>
      </c>
      <c r="L137" s="574">
        <v>29649.603999999999</v>
      </c>
      <c r="M137" s="574">
        <v>6643.530999999999</v>
      </c>
      <c r="N137" s="570">
        <v>65338.411666666667</v>
      </c>
      <c r="O137" s="570"/>
      <c r="P137" s="574"/>
      <c r="Q137" s="574"/>
      <c r="R137" s="570"/>
      <c r="S137" s="570"/>
      <c r="T137" s="615"/>
      <c r="U137" s="570"/>
      <c r="V137" s="615"/>
      <c r="W137" s="570"/>
      <c r="X137" s="615"/>
      <c r="Y137" s="570"/>
      <c r="Z137" s="624"/>
    </row>
    <row r="138" spans="1:26" s="74" customFormat="1">
      <c r="A138" s="576"/>
      <c r="B138" s="577" t="s">
        <v>497</v>
      </c>
      <c r="C138" s="578">
        <v>33964.633333333331</v>
      </c>
      <c r="D138" s="579"/>
      <c r="E138" s="579">
        <v>14279.150000000001</v>
      </c>
      <c r="F138" s="579">
        <v>2719.5666666666666</v>
      </c>
      <c r="G138" s="579">
        <v>16761.316666666666</v>
      </c>
      <c r="H138" s="579">
        <v>7285.3333333333339</v>
      </c>
      <c r="I138" s="578">
        <v>75009.999999999985</v>
      </c>
      <c r="J138" s="578">
        <v>1188.3666666666666</v>
      </c>
      <c r="K138" s="579">
        <v>29262.682666666668</v>
      </c>
      <c r="L138" s="579">
        <v>31398.061666666668</v>
      </c>
      <c r="M138" s="579">
        <v>6907.3996666666662</v>
      </c>
      <c r="N138" s="578">
        <v>68756.510666666669</v>
      </c>
      <c r="O138" s="578"/>
      <c r="P138" s="579"/>
      <c r="Q138" s="579"/>
      <c r="R138" s="578"/>
      <c r="S138" s="578"/>
      <c r="T138" s="616"/>
      <c r="U138" s="578"/>
      <c r="V138" s="616"/>
      <c r="W138" s="578"/>
      <c r="X138" s="616"/>
      <c r="Y138" s="578"/>
      <c r="Z138" s="625"/>
    </row>
    <row r="139" spans="1:26" s="74" customFormat="1">
      <c r="A139" s="576"/>
      <c r="B139" s="580" t="s">
        <v>511</v>
      </c>
      <c r="C139" s="581">
        <v>3.9154715841989955</v>
      </c>
      <c r="D139" s="582">
        <v>0</v>
      </c>
      <c r="E139" s="582">
        <v>-0.40836396353668486</v>
      </c>
      <c r="F139" s="582">
        <v>1.0390350225392591</v>
      </c>
      <c r="G139" s="582">
        <v>2.9579662280171868</v>
      </c>
      <c r="H139" s="582">
        <v>1.8244162427088504</v>
      </c>
      <c r="I139" s="581">
        <v>2.5444960997273793</v>
      </c>
      <c r="J139" s="581">
        <v>8.5596833130328687</v>
      </c>
      <c r="K139" s="582">
        <v>4.6942541385203196</v>
      </c>
      <c r="L139" s="582">
        <v>5.8970692042519994</v>
      </c>
      <c r="M139" s="582">
        <v>3.9718135832687054</v>
      </c>
      <c r="N139" s="581">
        <v>5.2313775508317129</v>
      </c>
      <c r="O139" s="581">
        <v>0</v>
      </c>
      <c r="P139" s="582">
        <v>0</v>
      </c>
      <c r="Q139" s="582">
        <v>0</v>
      </c>
      <c r="R139" s="581">
        <v>0</v>
      </c>
      <c r="S139" s="581">
        <v>0</v>
      </c>
      <c r="T139" s="617">
        <v>0</v>
      </c>
      <c r="U139" s="581">
        <v>0</v>
      </c>
      <c r="V139" s="617">
        <v>0</v>
      </c>
      <c r="W139" s="581">
        <v>0</v>
      </c>
      <c r="X139" s="617">
        <v>0</v>
      </c>
      <c r="Y139" s="581">
        <v>0</v>
      </c>
      <c r="Z139" s="626">
        <v>0</v>
      </c>
    </row>
    <row r="140" spans="1:26" s="74" customFormat="1">
      <c r="A140" s="576"/>
      <c r="B140" s="577" t="s">
        <v>495</v>
      </c>
      <c r="C140" s="578">
        <v>0</v>
      </c>
      <c r="D140" s="579"/>
      <c r="E140" s="579">
        <v>0</v>
      </c>
      <c r="F140" s="579">
        <v>0</v>
      </c>
      <c r="G140" s="579">
        <v>0</v>
      </c>
      <c r="H140" s="579">
        <v>0</v>
      </c>
      <c r="I140" s="578">
        <v>0</v>
      </c>
      <c r="J140" s="578">
        <v>0</v>
      </c>
      <c r="K140" s="579">
        <v>0</v>
      </c>
      <c r="L140" s="579">
        <v>0</v>
      </c>
      <c r="M140" s="579">
        <v>0</v>
      </c>
      <c r="N140" s="578">
        <v>0</v>
      </c>
      <c r="O140" s="578"/>
      <c r="P140" s="579"/>
      <c r="Q140" s="579"/>
      <c r="R140" s="578"/>
      <c r="S140" s="578"/>
      <c r="T140" s="616"/>
      <c r="U140" s="578"/>
      <c r="V140" s="616"/>
      <c r="W140" s="578"/>
      <c r="X140" s="616"/>
      <c r="Y140" s="578"/>
      <c r="Z140" s="625"/>
    </row>
    <row r="141" spans="1:26" s="74" customFormat="1">
      <c r="A141" s="576"/>
      <c r="B141" s="577" t="s">
        <v>493</v>
      </c>
      <c r="C141" s="578">
        <v>0</v>
      </c>
      <c r="D141" s="579"/>
      <c r="E141" s="579">
        <v>0</v>
      </c>
      <c r="F141" s="579">
        <v>0</v>
      </c>
      <c r="G141" s="579">
        <v>0</v>
      </c>
      <c r="H141" s="579">
        <v>0</v>
      </c>
      <c r="I141" s="578">
        <v>0</v>
      </c>
      <c r="J141" s="578">
        <v>0</v>
      </c>
      <c r="K141" s="579">
        <v>0</v>
      </c>
      <c r="L141" s="579">
        <v>0</v>
      </c>
      <c r="M141" s="579">
        <v>0</v>
      </c>
      <c r="N141" s="578">
        <v>0</v>
      </c>
      <c r="O141" s="578"/>
      <c r="P141" s="579"/>
      <c r="Q141" s="579"/>
      <c r="R141" s="578"/>
      <c r="S141" s="578"/>
      <c r="T141" s="616"/>
      <c r="U141" s="578"/>
      <c r="V141" s="616"/>
      <c r="W141" s="578"/>
      <c r="X141" s="616"/>
      <c r="Y141" s="578"/>
      <c r="Z141" s="625"/>
    </row>
    <row r="142" spans="1:26" s="74" customFormat="1">
      <c r="A142" s="576"/>
      <c r="B142" s="580" t="s">
        <v>513</v>
      </c>
      <c r="C142" s="581">
        <v>0</v>
      </c>
      <c r="D142" s="582">
        <v>0</v>
      </c>
      <c r="E142" s="582">
        <v>0</v>
      </c>
      <c r="F142" s="582">
        <v>0</v>
      </c>
      <c r="G142" s="582">
        <v>0</v>
      </c>
      <c r="H142" s="582">
        <v>0</v>
      </c>
      <c r="I142" s="581">
        <v>0</v>
      </c>
      <c r="J142" s="581">
        <v>0</v>
      </c>
      <c r="K142" s="582">
        <v>0</v>
      </c>
      <c r="L142" s="582">
        <v>0</v>
      </c>
      <c r="M142" s="582">
        <v>0</v>
      </c>
      <c r="N142" s="581">
        <v>0</v>
      </c>
      <c r="O142" s="581">
        <v>0</v>
      </c>
      <c r="P142" s="582">
        <v>0</v>
      </c>
      <c r="Q142" s="582">
        <v>0</v>
      </c>
      <c r="R142" s="581">
        <v>0</v>
      </c>
      <c r="S142" s="581">
        <v>0</v>
      </c>
      <c r="T142" s="617">
        <v>0</v>
      </c>
      <c r="U142" s="581">
        <v>0</v>
      </c>
      <c r="V142" s="617">
        <v>0</v>
      </c>
      <c r="W142" s="581">
        <v>0</v>
      </c>
      <c r="X142" s="617">
        <v>0</v>
      </c>
      <c r="Y142" s="581">
        <v>0</v>
      </c>
      <c r="Z142" s="626">
        <v>0</v>
      </c>
    </row>
    <row r="143" spans="1:26" s="74" customFormat="1">
      <c r="A143" s="576"/>
      <c r="B143" s="577" t="s">
        <v>501</v>
      </c>
      <c r="C143" s="578">
        <v>6815.125</v>
      </c>
      <c r="D143" s="579"/>
      <c r="E143" s="579">
        <v>1381.5416666666667</v>
      </c>
      <c r="F143" s="579">
        <v>646.83333333333337</v>
      </c>
      <c r="G143" s="579">
        <v>1176.375</v>
      </c>
      <c r="H143" s="579">
        <v>111.20833333333334</v>
      </c>
      <c r="I143" s="578">
        <v>10131.083333333334</v>
      </c>
      <c r="J143" s="578">
        <v>0</v>
      </c>
      <c r="K143" s="579">
        <v>0</v>
      </c>
      <c r="L143" s="579">
        <v>0</v>
      </c>
      <c r="M143" s="579">
        <v>0</v>
      </c>
      <c r="N143" s="578">
        <v>0</v>
      </c>
      <c r="O143" s="578"/>
      <c r="P143" s="579"/>
      <c r="Q143" s="579"/>
      <c r="R143" s="578"/>
      <c r="S143" s="578"/>
      <c r="T143" s="616"/>
      <c r="U143" s="578"/>
      <c r="V143" s="616"/>
      <c r="W143" s="578"/>
      <c r="X143" s="616"/>
      <c r="Y143" s="578"/>
      <c r="Z143" s="625"/>
    </row>
    <row r="144" spans="1:26" s="74" customFormat="1">
      <c r="A144" s="576"/>
      <c r="B144" s="577" t="s">
        <v>503</v>
      </c>
      <c r="C144" s="578">
        <v>6952.625</v>
      </c>
      <c r="D144" s="579"/>
      <c r="E144" s="579">
        <v>1477.875</v>
      </c>
      <c r="F144" s="579">
        <v>658.14583333333337</v>
      </c>
      <c r="G144" s="579">
        <v>1133.9583333333333</v>
      </c>
      <c r="H144" s="579">
        <v>110.25</v>
      </c>
      <c r="I144" s="578">
        <v>10332.854166666668</v>
      </c>
      <c r="J144" s="578">
        <v>0</v>
      </c>
      <c r="K144" s="579">
        <v>0</v>
      </c>
      <c r="L144" s="579">
        <v>0</v>
      </c>
      <c r="M144" s="579">
        <v>0</v>
      </c>
      <c r="N144" s="578">
        <v>0</v>
      </c>
      <c r="O144" s="578"/>
      <c r="P144" s="579"/>
      <c r="Q144" s="579"/>
      <c r="R144" s="578"/>
      <c r="S144" s="578"/>
      <c r="T144" s="616"/>
      <c r="U144" s="578"/>
      <c r="V144" s="616"/>
      <c r="W144" s="578"/>
      <c r="X144" s="616"/>
      <c r="Y144" s="578"/>
      <c r="Z144" s="625"/>
    </row>
    <row r="145" spans="1:26" s="74" customFormat="1">
      <c r="A145" s="576"/>
      <c r="B145" s="580" t="s">
        <v>505</v>
      </c>
      <c r="C145" s="581">
        <v>2.0175712110929731</v>
      </c>
      <c r="D145" s="582">
        <v>0</v>
      </c>
      <c r="E145" s="582">
        <v>6.9728865699550555</v>
      </c>
      <c r="F145" s="582">
        <v>1.7489049214120072</v>
      </c>
      <c r="G145" s="582">
        <v>-3.6057096305741574</v>
      </c>
      <c r="H145" s="582">
        <v>-0.86174597227426841</v>
      </c>
      <c r="I145" s="581">
        <v>1.9916017536788657</v>
      </c>
      <c r="J145" s="581">
        <v>0</v>
      </c>
      <c r="K145" s="582">
        <v>0</v>
      </c>
      <c r="L145" s="582">
        <v>0</v>
      </c>
      <c r="M145" s="582">
        <v>0</v>
      </c>
      <c r="N145" s="581">
        <v>0</v>
      </c>
      <c r="O145" s="581">
        <v>0</v>
      </c>
      <c r="P145" s="582">
        <v>0</v>
      </c>
      <c r="Q145" s="582">
        <v>0</v>
      </c>
      <c r="R145" s="581">
        <v>0</v>
      </c>
      <c r="S145" s="581">
        <v>0</v>
      </c>
      <c r="T145" s="617">
        <v>0</v>
      </c>
      <c r="U145" s="581">
        <v>0</v>
      </c>
      <c r="V145" s="617">
        <v>0</v>
      </c>
      <c r="W145" s="581">
        <v>0</v>
      </c>
      <c r="X145" s="617">
        <v>0</v>
      </c>
      <c r="Y145" s="581">
        <v>0</v>
      </c>
      <c r="Z145" s="626">
        <v>0</v>
      </c>
    </row>
    <row r="146" spans="1:26" s="74" customFormat="1">
      <c r="A146" s="576"/>
      <c r="B146" s="577" t="s">
        <v>67</v>
      </c>
      <c r="C146" s="578">
        <v>39499.991666666669</v>
      </c>
      <c r="D146" s="579"/>
      <c r="E146" s="579">
        <v>15719.241666666667</v>
      </c>
      <c r="F146" s="579">
        <v>3338.4333333333334</v>
      </c>
      <c r="G146" s="579">
        <v>17456.14166666667</v>
      </c>
      <c r="H146" s="579">
        <v>7266.0083333333341</v>
      </c>
      <c r="I146" s="578">
        <v>83279.81666666668</v>
      </c>
      <c r="J146" s="578">
        <v>1094.6666666666667</v>
      </c>
      <c r="K146" s="579">
        <v>27950.609999999993</v>
      </c>
      <c r="L146" s="579">
        <v>29649.603999999999</v>
      </c>
      <c r="M146" s="579">
        <v>6643.530999999999</v>
      </c>
      <c r="N146" s="578">
        <v>65338.411666666667</v>
      </c>
      <c r="O146" s="578"/>
      <c r="P146" s="579"/>
      <c r="Q146" s="579"/>
      <c r="R146" s="578"/>
      <c r="S146" s="578"/>
      <c r="T146" s="616"/>
      <c r="U146" s="578"/>
      <c r="V146" s="616"/>
      <c r="W146" s="578"/>
      <c r="X146" s="616"/>
      <c r="Y146" s="578"/>
      <c r="Z146" s="625"/>
    </row>
    <row r="147" spans="1:26" s="74" customFormat="1">
      <c r="A147" s="576"/>
      <c r="B147" s="577" t="s">
        <v>507</v>
      </c>
      <c r="C147" s="578">
        <v>40917.258333333331</v>
      </c>
      <c r="D147" s="579"/>
      <c r="E147" s="579">
        <v>15757.025</v>
      </c>
      <c r="F147" s="579">
        <v>3377.7125000000001</v>
      </c>
      <c r="G147" s="579">
        <v>17895.275000000001</v>
      </c>
      <c r="H147" s="579">
        <v>7395.5833333333339</v>
      </c>
      <c r="I147" s="578">
        <v>85342.854166666672</v>
      </c>
      <c r="J147" s="578">
        <v>1188.3666666666666</v>
      </c>
      <c r="K147" s="579">
        <v>29262.682666666668</v>
      </c>
      <c r="L147" s="579">
        <v>31398.061666666668</v>
      </c>
      <c r="M147" s="579">
        <v>6907.3996666666662</v>
      </c>
      <c r="N147" s="578">
        <v>68756.510666666669</v>
      </c>
      <c r="O147" s="578"/>
      <c r="P147" s="579"/>
      <c r="Q147" s="579"/>
      <c r="R147" s="578"/>
      <c r="S147" s="578"/>
      <c r="T147" s="616"/>
      <c r="U147" s="578"/>
      <c r="V147" s="616"/>
      <c r="W147" s="578"/>
      <c r="X147" s="616"/>
      <c r="Y147" s="578"/>
      <c r="Z147" s="625"/>
    </row>
    <row r="148" spans="1:26" s="74" customFormat="1">
      <c r="A148" s="604"/>
      <c r="B148" s="608" t="s">
        <v>509</v>
      </c>
      <c r="C148" s="578">
        <v>3.5880176346028665</v>
      </c>
      <c r="D148" s="579">
        <v>0</v>
      </c>
      <c r="E148" s="579">
        <v>0.24036358836224297</v>
      </c>
      <c r="F148" s="579">
        <v>1.176574840494045</v>
      </c>
      <c r="G148" s="579">
        <v>2.5156380013338073</v>
      </c>
      <c r="H148" s="579">
        <v>1.7833037626115185</v>
      </c>
      <c r="I148" s="578">
        <v>2.477235880882692</v>
      </c>
      <c r="J148" s="578">
        <v>8.5596833130328687</v>
      </c>
      <c r="K148" s="579">
        <v>4.6942541385203196</v>
      </c>
      <c r="L148" s="579">
        <v>5.8970692042519994</v>
      </c>
      <c r="M148" s="579">
        <v>3.9718135832687054</v>
      </c>
      <c r="N148" s="578">
        <v>5.2313775508317129</v>
      </c>
      <c r="O148" s="578">
        <v>0</v>
      </c>
      <c r="P148" s="579">
        <v>0</v>
      </c>
      <c r="Q148" s="579">
        <v>0</v>
      </c>
      <c r="R148" s="578">
        <v>0</v>
      </c>
      <c r="S148" s="578">
        <v>0</v>
      </c>
      <c r="T148" s="616">
        <v>0</v>
      </c>
      <c r="U148" s="578">
        <v>0</v>
      </c>
      <c r="V148" s="616">
        <v>0</v>
      </c>
      <c r="W148" s="578">
        <v>0</v>
      </c>
      <c r="X148" s="616">
        <v>0</v>
      </c>
      <c r="Y148" s="578">
        <v>0</v>
      </c>
      <c r="Z148" s="625">
        <v>0</v>
      </c>
    </row>
    <row r="149" spans="1:26" s="74" customFormat="1">
      <c r="A149" s="575" t="s">
        <v>254</v>
      </c>
      <c r="B149" s="573" t="s">
        <v>499</v>
      </c>
      <c r="C149" s="570">
        <v>19910.599999999999</v>
      </c>
      <c r="D149" s="574">
        <v>13480.366666666667</v>
      </c>
      <c r="E149" s="574">
        <v>42191.1</v>
      </c>
      <c r="F149" s="574">
        <v>14303.3</v>
      </c>
      <c r="G149" s="574">
        <v>6006.1</v>
      </c>
      <c r="H149" s="574"/>
      <c r="I149" s="570">
        <v>95891.466666666674</v>
      </c>
      <c r="J149" s="570"/>
      <c r="K149" s="574">
        <v>18869.933333333334</v>
      </c>
      <c r="L149" s="574">
        <v>31474.333333333332</v>
      </c>
      <c r="M149" s="574">
        <v>1712.5333333333333</v>
      </c>
      <c r="N149" s="570">
        <v>52056.799999999996</v>
      </c>
      <c r="O149" s="570"/>
      <c r="P149" s="574">
        <v>0</v>
      </c>
      <c r="Q149" s="574"/>
      <c r="R149" s="570">
        <v>0</v>
      </c>
      <c r="S149" s="570"/>
      <c r="T149" s="615"/>
      <c r="U149" s="570"/>
      <c r="V149" s="615"/>
      <c r="W149" s="570"/>
      <c r="X149" s="615"/>
      <c r="Y149" s="570"/>
      <c r="Z149" s="624"/>
    </row>
    <row r="150" spans="1:26" s="74" customFormat="1">
      <c r="A150" s="576"/>
      <c r="B150" s="577" t="s">
        <v>497</v>
      </c>
      <c r="C150" s="578">
        <v>20702.333333333332</v>
      </c>
      <c r="D150" s="579">
        <v>13365.966666666667</v>
      </c>
      <c r="E150" s="579">
        <v>42542.933333333334</v>
      </c>
      <c r="F150" s="579">
        <v>14703.533333333333</v>
      </c>
      <c r="G150" s="579">
        <v>6155.4666666666662</v>
      </c>
      <c r="H150" s="579"/>
      <c r="I150" s="578">
        <v>97470.233333333323</v>
      </c>
      <c r="J150" s="578"/>
      <c r="K150" s="579">
        <v>19253.966666666667</v>
      </c>
      <c r="L150" s="579">
        <v>32559.833333333332</v>
      </c>
      <c r="M150" s="579">
        <v>1718.0666666666666</v>
      </c>
      <c r="N150" s="578">
        <v>53531.866666666669</v>
      </c>
      <c r="O150" s="578"/>
      <c r="P150" s="579">
        <v>0</v>
      </c>
      <c r="Q150" s="579"/>
      <c r="R150" s="578">
        <v>0</v>
      </c>
      <c r="S150" s="578"/>
      <c r="T150" s="616"/>
      <c r="U150" s="578"/>
      <c r="V150" s="616"/>
      <c r="W150" s="578"/>
      <c r="X150" s="616"/>
      <c r="Y150" s="578"/>
      <c r="Z150" s="625"/>
    </row>
    <row r="151" spans="1:26" s="74" customFormat="1">
      <c r="A151" s="576"/>
      <c r="B151" s="580" t="s">
        <v>511</v>
      </c>
      <c r="C151" s="581">
        <v>3.9764413595438288</v>
      </c>
      <c r="D151" s="582">
        <v>-0.84864160470412253</v>
      </c>
      <c r="E151" s="582">
        <v>0.83390414882128172</v>
      </c>
      <c r="F151" s="582">
        <v>2.7981887629661242</v>
      </c>
      <c r="G151" s="582">
        <v>2.4869160797633385</v>
      </c>
      <c r="H151" s="582">
        <v>0</v>
      </c>
      <c r="I151" s="581">
        <v>1.6464099690483367</v>
      </c>
      <c r="J151" s="581">
        <v>0</v>
      </c>
      <c r="K151" s="582">
        <v>2.0351599899663992</v>
      </c>
      <c r="L151" s="582">
        <v>3.448841913516834</v>
      </c>
      <c r="M151" s="582">
        <v>0.32310806602304398</v>
      </c>
      <c r="N151" s="581">
        <v>2.8335715346826267</v>
      </c>
      <c r="O151" s="581">
        <v>0</v>
      </c>
      <c r="P151" s="582">
        <v>0</v>
      </c>
      <c r="Q151" s="582">
        <v>0</v>
      </c>
      <c r="R151" s="581">
        <v>0</v>
      </c>
      <c r="S151" s="581">
        <v>0</v>
      </c>
      <c r="T151" s="617">
        <v>0</v>
      </c>
      <c r="U151" s="581">
        <v>0</v>
      </c>
      <c r="V151" s="617">
        <v>0</v>
      </c>
      <c r="W151" s="581">
        <v>0</v>
      </c>
      <c r="X151" s="617">
        <v>0</v>
      </c>
      <c r="Y151" s="581">
        <v>0</v>
      </c>
      <c r="Z151" s="626">
        <v>0</v>
      </c>
    </row>
    <row r="152" spans="1:26" s="74" customFormat="1">
      <c r="A152" s="576"/>
      <c r="B152" s="577" t="s">
        <v>495</v>
      </c>
      <c r="C152" s="578">
        <v>0</v>
      </c>
      <c r="D152" s="579">
        <v>0</v>
      </c>
      <c r="E152" s="579">
        <v>0</v>
      </c>
      <c r="F152" s="579">
        <v>0</v>
      </c>
      <c r="G152" s="579">
        <v>0</v>
      </c>
      <c r="H152" s="579"/>
      <c r="I152" s="578">
        <v>0</v>
      </c>
      <c r="J152" s="578"/>
      <c r="K152" s="579">
        <v>0</v>
      </c>
      <c r="L152" s="579">
        <v>0</v>
      </c>
      <c r="M152" s="579">
        <v>0</v>
      </c>
      <c r="N152" s="578">
        <v>0</v>
      </c>
      <c r="O152" s="578"/>
      <c r="P152" s="579">
        <v>10283.096666666668</v>
      </c>
      <c r="Q152" s="579"/>
      <c r="R152" s="578">
        <v>10283.096666666668</v>
      </c>
      <c r="S152" s="578"/>
      <c r="T152" s="616"/>
      <c r="U152" s="578"/>
      <c r="V152" s="616"/>
      <c r="W152" s="578"/>
      <c r="X152" s="616"/>
      <c r="Y152" s="578"/>
      <c r="Z152" s="625"/>
    </row>
    <row r="153" spans="1:26" s="74" customFormat="1">
      <c r="A153" s="576"/>
      <c r="B153" s="577" t="s">
        <v>493</v>
      </c>
      <c r="C153" s="578">
        <v>0</v>
      </c>
      <c r="D153" s="579">
        <v>0</v>
      </c>
      <c r="E153" s="579">
        <v>0</v>
      </c>
      <c r="F153" s="579">
        <v>0</v>
      </c>
      <c r="G153" s="579">
        <v>0</v>
      </c>
      <c r="H153" s="579"/>
      <c r="I153" s="578">
        <v>0</v>
      </c>
      <c r="J153" s="578"/>
      <c r="K153" s="579">
        <v>0</v>
      </c>
      <c r="L153" s="579">
        <v>0</v>
      </c>
      <c r="M153" s="579">
        <v>0</v>
      </c>
      <c r="N153" s="578">
        <v>0</v>
      </c>
      <c r="O153" s="578"/>
      <c r="P153" s="579">
        <v>11037.255555555552</v>
      </c>
      <c r="Q153" s="579"/>
      <c r="R153" s="578">
        <v>11037.255555555552</v>
      </c>
      <c r="S153" s="578"/>
      <c r="T153" s="616"/>
      <c r="U153" s="578"/>
      <c r="V153" s="616"/>
      <c r="W153" s="578"/>
      <c r="X153" s="616"/>
      <c r="Y153" s="578"/>
      <c r="Z153" s="625"/>
    </row>
    <row r="154" spans="1:26" s="74" customFormat="1">
      <c r="A154" s="576"/>
      <c r="B154" s="580" t="s">
        <v>513</v>
      </c>
      <c r="C154" s="581">
        <v>0</v>
      </c>
      <c r="D154" s="582">
        <v>0</v>
      </c>
      <c r="E154" s="582">
        <v>0</v>
      </c>
      <c r="F154" s="582">
        <v>0</v>
      </c>
      <c r="G154" s="582">
        <v>0</v>
      </c>
      <c r="H154" s="582">
        <v>0</v>
      </c>
      <c r="I154" s="581">
        <v>0</v>
      </c>
      <c r="J154" s="581">
        <v>0</v>
      </c>
      <c r="K154" s="582">
        <v>0</v>
      </c>
      <c r="L154" s="582">
        <v>0</v>
      </c>
      <c r="M154" s="582">
        <v>0</v>
      </c>
      <c r="N154" s="581">
        <v>0</v>
      </c>
      <c r="O154" s="581">
        <v>0</v>
      </c>
      <c r="P154" s="582">
        <v>7.3339667352689499</v>
      </c>
      <c r="Q154" s="582">
        <v>0</v>
      </c>
      <c r="R154" s="581">
        <v>7.3339667352689499</v>
      </c>
      <c r="S154" s="581">
        <v>0</v>
      </c>
      <c r="T154" s="617">
        <v>0</v>
      </c>
      <c r="U154" s="581">
        <v>0</v>
      </c>
      <c r="V154" s="617">
        <v>0</v>
      </c>
      <c r="W154" s="581">
        <v>0</v>
      </c>
      <c r="X154" s="617">
        <v>0</v>
      </c>
      <c r="Y154" s="581">
        <v>0</v>
      </c>
      <c r="Z154" s="626">
        <v>0</v>
      </c>
    </row>
    <row r="155" spans="1:26" s="74" customFormat="1">
      <c r="A155" s="576"/>
      <c r="B155" s="577" t="s">
        <v>501</v>
      </c>
      <c r="C155" s="578">
        <v>5125.125</v>
      </c>
      <c r="D155" s="579">
        <v>3045.0416666666665</v>
      </c>
      <c r="E155" s="579">
        <v>5292.875</v>
      </c>
      <c r="F155" s="579">
        <v>1731.4166666666665</v>
      </c>
      <c r="G155" s="579">
        <v>279.83333333333331</v>
      </c>
      <c r="H155" s="579"/>
      <c r="I155" s="578">
        <v>15474.291666666666</v>
      </c>
      <c r="J155" s="578"/>
      <c r="K155" s="579">
        <v>0</v>
      </c>
      <c r="L155" s="579">
        <v>0</v>
      </c>
      <c r="M155" s="579">
        <v>0</v>
      </c>
      <c r="N155" s="578">
        <v>0</v>
      </c>
      <c r="O155" s="578"/>
      <c r="P155" s="579">
        <v>0</v>
      </c>
      <c r="Q155" s="579"/>
      <c r="R155" s="578">
        <v>0</v>
      </c>
      <c r="S155" s="578"/>
      <c r="T155" s="616"/>
      <c r="U155" s="578"/>
      <c r="V155" s="616"/>
      <c r="W155" s="578"/>
      <c r="X155" s="616"/>
      <c r="Y155" s="578"/>
      <c r="Z155" s="625"/>
    </row>
    <row r="156" spans="1:26" s="74" customFormat="1">
      <c r="A156" s="576"/>
      <c r="B156" s="577" t="s">
        <v>503</v>
      </c>
      <c r="C156" s="578">
        <v>5098.208333333333</v>
      </c>
      <c r="D156" s="579">
        <v>3188.8333333333335</v>
      </c>
      <c r="E156" s="579">
        <v>5654.583333333333</v>
      </c>
      <c r="F156" s="579">
        <v>1857.5833333333335</v>
      </c>
      <c r="G156" s="579">
        <v>261.41666666666669</v>
      </c>
      <c r="H156" s="579"/>
      <c r="I156" s="578">
        <v>16060.625</v>
      </c>
      <c r="J156" s="578"/>
      <c r="K156" s="579">
        <v>0</v>
      </c>
      <c r="L156" s="579">
        <v>0</v>
      </c>
      <c r="M156" s="579">
        <v>0</v>
      </c>
      <c r="N156" s="578">
        <v>0</v>
      </c>
      <c r="O156" s="578"/>
      <c r="P156" s="579">
        <v>0</v>
      </c>
      <c r="Q156" s="579"/>
      <c r="R156" s="578">
        <v>0</v>
      </c>
      <c r="S156" s="578"/>
      <c r="T156" s="616"/>
      <c r="U156" s="578"/>
      <c r="V156" s="616"/>
      <c r="W156" s="578"/>
      <c r="X156" s="616"/>
      <c r="Y156" s="578"/>
      <c r="Z156" s="625"/>
    </row>
    <row r="157" spans="1:26" s="74" customFormat="1">
      <c r="A157" s="576"/>
      <c r="B157" s="580" t="s">
        <v>505</v>
      </c>
      <c r="C157" s="581">
        <v>-0.52519044250953828</v>
      </c>
      <c r="D157" s="582">
        <v>4.7221576059440995</v>
      </c>
      <c r="E157" s="582">
        <v>6.8338725802769398</v>
      </c>
      <c r="F157" s="582">
        <v>7.2869037878423439</v>
      </c>
      <c r="G157" s="582">
        <v>-6.581298391899927</v>
      </c>
      <c r="H157" s="582">
        <v>0</v>
      </c>
      <c r="I157" s="581">
        <v>3.7890802756184354</v>
      </c>
      <c r="J157" s="581">
        <v>0</v>
      </c>
      <c r="K157" s="582">
        <v>0</v>
      </c>
      <c r="L157" s="582">
        <v>0</v>
      </c>
      <c r="M157" s="582">
        <v>0</v>
      </c>
      <c r="N157" s="581">
        <v>0</v>
      </c>
      <c r="O157" s="581">
        <v>0</v>
      </c>
      <c r="P157" s="582">
        <v>0</v>
      </c>
      <c r="Q157" s="582">
        <v>0</v>
      </c>
      <c r="R157" s="581">
        <v>0</v>
      </c>
      <c r="S157" s="581">
        <v>0</v>
      </c>
      <c r="T157" s="617">
        <v>0</v>
      </c>
      <c r="U157" s="581">
        <v>0</v>
      </c>
      <c r="V157" s="617">
        <v>0</v>
      </c>
      <c r="W157" s="581">
        <v>0</v>
      </c>
      <c r="X157" s="617">
        <v>0</v>
      </c>
      <c r="Y157" s="581">
        <v>0</v>
      </c>
      <c r="Z157" s="626">
        <v>0</v>
      </c>
    </row>
    <row r="158" spans="1:26" s="74" customFormat="1">
      <c r="A158" s="576"/>
      <c r="B158" s="577" t="s">
        <v>67</v>
      </c>
      <c r="C158" s="578">
        <v>25035.724999999999</v>
      </c>
      <c r="D158" s="579">
        <v>16525.408333333333</v>
      </c>
      <c r="E158" s="579">
        <v>47483.974999999999</v>
      </c>
      <c r="F158" s="579">
        <v>16034.716666666665</v>
      </c>
      <c r="G158" s="579">
        <v>6285.9333333333334</v>
      </c>
      <c r="H158" s="579"/>
      <c r="I158" s="578">
        <v>111365.75833333333</v>
      </c>
      <c r="J158" s="578"/>
      <c r="K158" s="579">
        <v>18869.933333333334</v>
      </c>
      <c r="L158" s="579">
        <v>31474.333333333332</v>
      </c>
      <c r="M158" s="579">
        <v>1712.5333333333333</v>
      </c>
      <c r="N158" s="578">
        <v>52056.799999999996</v>
      </c>
      <c r="O158" s="578"/>
      <c r="P158" s="579">
        <v>10283.096666666668</v>
      </c>
      <c r="Q158" s="579"/>
      <c r="R158" s="578">
        <v>10283.096666666668</v>
      </c>
      <c r="S158" s="578"/>
      <c r="T158" s="616"/>
      <c r="U158" s="578"/>
      <c r="V158" s="616"/>
      <c r="W158" s="578"/>
      <c r="X158" s="616"/>
      <c r="Y158" s="578"/>
      <c r="Z158" s="625"/>
    </row>
    <row r="159" spans="1:26" s="74" customFormat="1">
      <c r="A159" s="576"/>
      <c r="B159" s="577" t="s">
        <v>507</v>
      </c>
      <c r="C159" s="578">
        <v>25800.541666666664</v>
      </c>
      <c r="D159" s="579">
        <v>16554.8</v>
      </c>
      <c r="E159" s="579">
        <v>48197.516666666663</v>
      </c>
      <c r="F159" s="579">
        <v>16561.116666666665</v>
      </c>
      <c r="G159" s="579">
        <v>6416.8833333333332</v>
      </c>
      <c r="H159" s="579"/>
      <c r="I159" s="578">
        <v>113530.85833333332</v>
      </c>
      <c r="J159" s="578"/>
      <c r="K159" s="579">
        <v>19253.966666666667</v>
      </c>
      <c r="L159" s="579">
        <v>32559.833333333332</v>
      </c>
      <c r="M159" s="579">
        <v>1718.0666666666666</v>
      </c>
      <c r="N159" s="578">
        <v>53531.866666666669</v>
      </c>
      <c r="O159" s="578"/>
      <c r="P159" s="579">
        <v>11037.255555555552</v>
      </c>
      <c r="Q159" s="579"/>
      <c r="R159" s="578">
        <v>11037.255555555552</v>
      </c>
      <c r="S159" s="578"/>
      <c r="T159" s="616"/>
      <c r="U159" s="578"/>
      <c r="V159" s="616"/>
      <c r="W159" s="578"/>
      <c r="X159" s="616"/>
      <c r="Y159" s="578"/>
      <c r="Z159" s="625"/>
    </row>
    <row r="160" spans="1:26" s="74" customFormat="1">
      <c r="A160" s="604"/>
      <c r="B160" s="608" t="s">
        <v>509</v>
      </c>
      <c r="C160" s="578">
        <v>3.0549012128335238</v>
      </c>
      <c r="D160" s="579">
        <v>0.17785743065350232</v>
      </c>
      <c r="E160" s="579">
        <v>1.502699945964221</v>
      </c>
      <c r="F160" s="579">
        <v>3.2828768411872966</v>
      </c>
      <c r="G160" s="579">
        <v>2.08322285738527</v>
      </c>
      <c r="H160" s="579">
        <v>0</v>
      </c>
      <c r="I160" s="578">
        <v>1.9441343842148886</v>
      </c>
      <c r="J160" s="578">
        <v>0</v>
      </c>
      <c r="K160" s="579">
        <v>2.0351599899663992</v>
      </c>
      <c r="L160" s="579">
        <v>3.448841913516834</v>
      </c>
      <c r="M160" s="579">
        <v>0.32310806602304398</v>
      </c>
      <c r="N160" s="578">
        <v>2.8335715346826267</v>
      </c>
      <c r="O160" s="578">
        <v>0</v>
      </c>
      <c r="P160" s="579">
        <v>7.3339667352689499</v>
      </c>
      <c r="Q160" s="579">
        <v>0</v>
      </c>
      <c r="R160" s="578">
        <v>7.3339667352689499</v>
      </c>
      <c r="S160" s="578">
        <v>0</v>
      </c>
      <c r="T160" s="616">
        <v>0</v>
      </c>
      <c r="U160" s="578">
        <v>0</v>
      </c>
      <c r="V160" s="616">
        <v>0</v>
      </c>
      <c r="W160" s="578">
        <v>0</v>
      </c>
      <c r="X160" s="616">
        <v>0</v>
      </c>
      <c r="Y160" s="578">
        <v>0</v>
      </c>
      <c r="Z160" s="625">
        <v>0</v>
      </c>
    </row>
    <row r="161" spans="1:32" s="74" customFormat="1">
      <c r="A161" s="575" t="s">
        <v>306</v>
      </c>
      <c r="B161" s="573" t="s">
        <v>499</v>
      </c>
      <c r="C161" s="570">
        <v>159780.03333333333</v>
      </c>
      <c r="D161" s="574">
        <v>19395.666666666668</v>
      </c>
      <c r="E161" s="574">
        <v>142714.90000000002</v>
      </c>
      <c r="F161" s="574">
        <v>8914.7666666666664</v>
      </c>
      <c r="G161" s="574">
        <v>9802.1999999999989</v>
      </c>
      <c r="H161" s="574">
        <v>1494.4</v>
      </c>
      <c r="I161" s="570">
        <v>342101.96666666667</v>
      </c>
      <c r="J161" s="570"/>
      <c r="K161" s="574">
        <v>281622.33333333337</v>
      </c>
      <c r="L161" s="574">
        <v>89060.333333333343</v>
      </c>
      <c r="M161" s="574">
        <v>12891.900000000001</v>
      </c>
      <c r="N161" s="570">
        <v>383574.56666666677</v>
      </c>
      <c r="O161" s="570"/>
      <c r="P161" s="574"/>
      <c r="Q161" s="574"/>
      <c r="R161" s="570"/>
      <c r="S161" s="570">
        <v>59946.966666666667</v>
      </c>
      <c r="T161" s="615">
        <v>59946.966666666667</v>
      </c>
      <c r="U161" s="570">
        <v>12711.833333333334</v>
      </c>
      <c r="V161" s="615">
        <v>12711.833333333334</v>
      </c>
      <c r="W161" s="570">
        <v>102.53333333333333</v>
      </c>
      <c r="X161" s="615">
        <v>102.53333333333333</v>
      </c>
      <c r="Y161" s="570">
        <v>72761.333333333328</v>
      </c>
      <c r="Z161" s="624">
        <v>72761.333333333328</v>
      </c>
    </row>
    <row r="162" spans="1:32" s="74" customFormat="1">
      <c r="A162" s="576"/>
      <c r="B162" s="577" t="s">
        <v>497</v>
      </c>
      <c r="C162" s="578">
        <v>162221.83333333334</v>
      </c>
      <c r="D162" s="579">
        <v>19875.599999999999</v>
      </c>
      <c r="E162" s="579">
        <v>142498.70000000001</v>
      </c>
      <c r="F162" s="579">
        <v>9599.2666666666664</v>
      </c>
      <c r="G162" s="579">
        <v>10193.566666666668</v>
      </c>
      <c r="H162" s="579">
        <v>1482.7</v>
      </c>
      <c r="I162" s="578">
        <v>345871.66666666669</v>
      </c>
      <c r="J162" s="578"/>
      <c r="K162" s="579">
        <v>292900.83333333343</v>
      </c>
      <c r="L162" s="579">
        <v>92418.766666666663</v>
      </c>
      <c r="M162" s="579">
        <v>13505.766666666665</v>
      </c>
      <c r="N162" s="578">
        <v>398825.36666666676</v>
      </c>
      <c r="O162" s="578"/>
      <c r="P162" s="579"/>
      <c r="Q162" s="579"/>
      <c r="R162" s="578"/>
      <c r="S162" s="578">
        <v>61059.133333333331</v>
      </c>
      <c r="T162" s="616">
        <v>61059.133333333331</v>
      </c>
      <c r="U162" s="578">
        <v>13175.8</v>
      </c>
      <c r="V162" s="616">
        <v>13175.8</v>
      </c>
      <c r="W162" s="578">
        <v>296.60000000000002</v>
      </c>
      <c r="X162" s="616">
        <v>296.60000000000002</v>
      </c>
      <c r="Y162" s="578">
        <v>74531.53333333334</v>
      </c>
      <c r="Z162" s="625">
        <v>74531.53333333334</v>
      </c>
    </row>
    <row r="163" spans="1:32" s="74" customFormat="1">
      <c r="A163" s="576"/>
      <c r="B163" s="580" t="s">
        <v>511</v>
      </c>
      <c r="C163" s="581">
        <v>1.5282259923590895</v>
      </c>
      <c r="D163" s="582">
        <v>2.4744358705552649</v>
      </c>
      <c r="E163" s="582">
        <v>-0.15149083942882741</v>
      </c>
      <c r="F163" s="582">
        <v>7.6782716317121791</v>
      </c>
      <c r="G163" s="582">
        <v>3.992641107778546</v>
      </c>
      <c r="H163" s="582">
        <v>-0.78292291220557042</v>
      </c>
      <c r="I163" s="581">
        <v>1.1019229257086225</v>
      </c>
      <c r="J163" s="581">
        <v>0</v>
      </c>
      <c r="K163" s="582">
        <v>4.0048315296964097</v>
      </c>
      <c r="L163" s="582">
        <v>3.7709642526975937</v>
      </c>
      <c r="M163" s="582">
        <v>4.7616462016201107</v>
      </c>
      <c r="N163" s="581">
        <v>3.975967471600804</v>
      </c>
      <c r="O163" s="581">
        <v>0</v>
      </c>
      <c r="P163" s="582">
        <v>0</v>
      </c>
      <c r="Q163" s="582">
        <v>0</v>
      </c>
      <c r="R163" s="581">
        <v>0</v>
      </c>
      <c r="S163" s="581">
        <v>1.8552509468090923</v>
      </c>
      <c r="T163" s="617">
        <v>1.8552509468090923</v>
      </c>
      <c r="U163" s="581">
        <v>3.6498800330400698</v>
      </c>
      <c r="V163" s="617">
        <v>3.6498800330400698</v>
      </c>
      <c r="W163" s="581">
        <v>189.27178153446036</v>
      </c>
      <c r="X163" s="617">
        <v>189.27178153446036</v>
      </c>
      <c r="Y163" s="581">
        <v>2.4328855985780153</v>
      </c>
      <c r="Z163" s="626">
        <v>2.4328855985780153</v>
      </c>
    </row>
    <row r="164" spans="1:32" s="74" customFormat="1">
      <c r="A164" s="576"/>
      <c r="B164" s="577" t="s">
        <v>495</v>
      </c>
      <c r="C164" s="578">
        <v>0</v>
      </c>
      <c r="D164" s="579">
        <v>0</v>
      </c>
      <c r="E164" s="579">
        <v>0</v>
      </c>
      <c r="F164" s="579">
        <v>0</v>
      </c>
      <c r="G164" s="579">
        <v>0</v>
      </c>
      <c r="H164" s="579">
        <v>0</v>
      </c>
      <c r="I164" s="578">
        <v>0</v>
      </c>
      <c r="J164" s="578"/>
      <c r="K164" s="579">
        <v>11157.882222222222</v>
      </c>
      <c r="L164" s="579">
        <v>7553.1133333333337</v>
      </c>
      <c r="M164" s="579">
        <v>1151.3288888888887</v>
      </c>
      <c r="N164" s="578">
        <v>19862.324444444446</v>
      </c>
      <c r="O164" s="578"/>
      <c r="P164" s="579"/>
      <c r="Q164" s="579"/>
      <c r="R164" s="578"/>
      <c r="S164" s="578">
        <v>2926.1855555555558</v>
      </c>
      <c r="T164" s="616">
        <v>2926.1855555555558</v>
      </c>
      <c r="U164" s="578">
        <v>2497.6211111111111</v>
      </c>
      <c r="V164" s="616">
        <v>2497.6211111111111</v>
      </c>
      <c r="W164" s="578">
        <v>0</v>
      </c>
      <c r="X164" s="616">
        <v>0</v>
      </c>
      <c r="Y164" s="578">
        <v>5423.8066666666664</v>
      </c>
      <c r="Z164" s="625">
        <v>5423.8066666666664</v>
      </c>
      <c r="AB164" s="512" t="s">
        <v>44</v>
      </c>
    </row>
    <row r="165" spans="1:32" s="74" customFormat="1">
      <c r="A165" s="576"/>
      <c r="B165" s="577" t="s">
        <v>493</v>
      </c>
      <c r="C165" s="578">
        <v>0</v>
      </c>
      <c r="D165" s="579">
        <v>0</v>
      </c>
      <c r="E165" s="579">
        <v>0</v>
      </c>
      <c r="F165" s="579">
        <v>0</v>
      </c>
      <c r="G165" s="579">
        <v>0</v>
      </c>
      <c r="H165" s="579">
        <v>0</v>
      </c>
      <c r="I165" s="578">
        <v>0</v>
      </c>
      <c r="J165" s="578"/>
      <c r="K165" s="579">
        <v>11371.316666666669</v>
      </c>
      <c r="L165" s="579">
        <v>7610.4755555555548</v>
      </c>
      <c r="M165" s="579">
        <v>1154.8200000000002</v>
      </c>
      <c r="N165" s="578">
        <v>20136.612222222226</v>
      </c>
      <c r="O165" s="578"/>
      <c r="P165" s="579"/>
      <c r="Q165" s="579"/>
      <c r="R165" s="578"/>
      <c r="S165" s="578">
        <v>2870.4377777777777</v>
      </c>
      <c r="T165" s="616">
        <v>2870.4377777777777</v>
      </c>
      <c r="U165" s="578">
        <v>2873.3344444444447</v>
      </c>
      <c r="V165" s="616">
        <v>2873.3344444444447</v>
      </c>
      <c r="W165" s="578">
        <v>0</v>
      </c>
      <c r="X165" s="616">
        <v>0</v>
      </c>
      <c r="Y165" s="578">
        <v>5743.7722222222219</v>
      </c>
      <c r="Z165" s="625">
        <v>5743.7722222222219</v>
      </c>
      <c r="AB165" s="512" t="s">
        <v>102</v>
      </c>
    </row>
    <row r="166" spans="1:32" s="74" customFormat="1">
      <c r="A166" s="576"/>
      <c r="B166" s="580" t="s">
        <v>513</v>
      </c>
      <c r="C166" s="581">
        <v>0</v>
      </c>
      <c r="D166" s="582">
        <v>0</v>
      </c>
      <c r="E166" s="582">
        <v>0</v>
      </c>
      <c r="F166" s="582">
        <v>0</v>
      </c>
      <c r="G166" s="582">
        <v>0</v>
      </c>
      <c r="H166" s="582">
        <v>0</v>
      </c>
      <c r="I166" s="581">
        <v>0</v>
      </c>
      <c r="J166" s="581">
        <v>0</v>
      </c>
      <c r="K166" s="582">
        <v>1.9128580154697035</v>
      </c>
      <c r="L166" s="582">
        <v>0.75945136383788492</v>
      </c>
      <c r="M166" s="582">
        <v>0.30322448648713951</v>
      </c>
      <c r="N166" s="581">
        <v>1.3809450074435248</v>
      </c>
      <c r="O166" s="581">
        <v>0</v>
      </c>
      <c r="P166" s="582">
        <v>0</v>
      </c>
      <c r="Q166" s="582">
        <v>0</v>
      </c>
      <c r="R166" s="581">
        <v>0</v>
      </c>
      <c r="S166" s="581">
        <v>-1.9051347469041142</v>
      </c>
      <c r="T166" s="617">
        <v>-1.9051347469041142</v>
      </c>
      <c r="U166" s="581">
        <v>15.042847438384713</v>
      </c>
      <c r="V166" s="617">
        <v>15.042847438384713</v>
      </c>
      <c r="W166" s="581">
        <v>0</v>
      </c>
      <c r="X166" s="617">
        <v>0</v>
      </c>
      <c r="Y166" s="581">
        <v>5.8992802513036144</v>
      </c>
      <c r="Z166" s="626">
        <v>5.8992802513036144</v>
      </c>
      <c r="AB166" s="513" t="s">
        <v>45</v>
      </c>
      <c r="AC166" s="513" t="s">
        <v>46</v>
      </c>
      <c r="AD166" s="513" t="s">
        <v>47</v>
      </c>
      <c r="AE166" s="513" t="s">
        <v>669</v>
      </c>
      <c r="AF166" s="513" t="s">
        <v>670</v>
      </c>
    </row>
    <row r="167" spans="1:32" s="74" customFormat="1">
      <c r="A167" s="576"/>
      <c r="B167" s="577" t="s">
        <v>501</v>
      </c>
      <c r="C167" s="578">
        <v>40272</v>
      </c>
      <c r="D167" s="579">
        <v>5643.125</v>
      </c>
      <c r="E167" s="579">
        <v>24324.083333333336</v>
      </c>
      <c r="F167" s="579">
        <v>1773.7916666666665</v>
      </c>
      <c r="G167" s="579">
        <v>1039.4583333333335</v>
      </c>
      <c r="H167" s="579">
        <v>25.166666666666668</v>
      </c>
      <c r="I167" s="578">
        <v>73077.625000000015</v>
      </c>
      <c r="J167" s="578"/>
      <c r="K167" s="579">
        <v>0</v>
      </c>
      <c r="L167" s="579">
        <v>0</v>
      </c>
      <c r="M167" s="579">
        <v>0</v>
      </c>
      <c r="N167" s="578">
        <v>0</v>
      </c>
      <c r="O167" s="578"/>
      <c r="P167" s="579"/>
      <c r="Q167" s="579"/>
      <c r="R167" s="578"/>
      <c r="S167" s="578">
        <v>0</v>
      </c>
      <c r="T167" s="616">
        <v>0</v>
      </c>
      <c r="U167" s="578">
        <v>0</v>
      </c>
      <c r="V167" s="616">
        <v>0</v>
      </c>
      <c r="W167" s="578">
        <v>0</v>
      </c>
      <c r="X167" s="616">
        <v>0</v>
      </c>
      <c r="Y167" s="578">
        <v>0</v>
      </c>
      <c r="Z167" s="625">
        <v>0</v>
      </c>
      <c r="AB167" s="512">
        <f>+GETPIVOTDATA("Grand Total FTE - New",$A$2,"State","TX","Category","8","Category2","Two-Year")-GETPIVOTDATA("Grand Total FTE - New",$A$2,"State","TX","Category","8b","Category2","8b")</f>
        <v>240342.57888888891</v>
      </c>
      <c r="AC167" s="74">
        <f>+GETPIVOTDATA("Grand Total FTE - New",$A$2,"State","TX","Category","9","Category2","Two-Year")-GETPIVOTDATA("Grand Total FTE - New",$A$2,"State","TX","Category","9b","Category2","9b")</f>
        <v>83980.107777777783</v>
      </c>
      <c r="AD167" s="74">
        <f>+GETPIVOTDATA("Grand Total FTE - New",$A$2,"State","TX","Category","10","Category2","Two-Year")-GETPIVOTDATA("Grand Total FTE - New",$A$2,"State","TX","Category","10b","Category2","10b")</f>
        <v>14363.986666666666</v>
      </c>
      <c r="AE167" s="74">
        <f>+GETPIVOTDATA("Grand Total FTE - New",$A$2,"State","TX","Category","11b","Category2","11b")</f>
        <v>80275.305555555577</v>
      </c>
      <c r="AF167" s="74">
        <f>SUM(AB167:AE167)</f>
        <v>418961.97888888896</v>
      </c>
    </row>
    <row r="168" spans="1:32" s="74" customFormat="1">
      <c r="A168" s="576"/>
      <c r="B168" s="577" t="s">
        <v>503</v>
      </c>
      <c r="C168" s="578">
        <v>41315.916666666672</v>
      </c>
      <c r="D168" s="579">
        <v>5742.0416666666661</v>
      </c>
      <c r="E168" s="579">
        <v>26678.958333333328</v>
      </c>
      <c r="F168" s="579">
        <v>1885.125</v>
      </c>
      <c r="G168" s="579">
        <v>1145.4583333333335</v>
      </c>
      <c r="H168" s="579">
        <v>34.333333333333336</v>
      </c>
      <c r="I168" s="578">
        <v>76801.833333333314</v>
      </c>
      <c r="J168" s="578"/>
      <c r="K168" s="579">
        <v>0</v>
      </c>
      <c r="L168" s="579">
        <v>0</v>
      </c>
      <c r="M168" s="579">
        <v>0</v>
      </c>
      <c r="N168" s="578">
        <v>0</v>
      </c>
      <c r="O168" s="578"/>
      <c r="P168" s="579"/>
      <c r="Q168" s="579"/>
      <c r="R168" s="578"/>
      <c r="S168" s="578">
        <v>0</v>
      </c>
      <c r="T168" s="616">
        <v>0</v>
      </c>
      <c r="U168" s="578">
        <v>0</v>
      </c>
      <c r="V168" s="616">
        <v>0</v>
      </c>
      <c r="W168" s="578">
        <v>0</v>
      </c>
      <c r="X168" s="616">
        <v>0</v>
      </c>
      <c r="Y168" s="578">
        <v>0</v>
      </c>
      <c r="Z168" s="625">
        <v>0</v>
      </c>
      <c r="AB168" s="512" t="s">
        <v>930</v>
      </c>
    </row>
    <row r="169" spans="1:32" s="74" customFormat="1">
      <c r="A169" s="576"/>
      <c r="B169" s="580" t="s">
        <v>505</v>
      </c>
      <c r="C169" s="581">
        <v>2.5921649450404041</v>
      </c>
      <c r="D169" s="582">
        <v>1.7528703806253816</v>
      </c>
      <c r="E169" s="582">
        <v>9.6812486938527691</v>
      </c>
      <c r="F169" s="582">
        <v>6.2765732540931705</v>
      </c>
      <c r="G169" s="582">
        <v>10.197618952178617</v>
      </c>
      <c r="H169" s="582">
        <v>36.423841059602651</v>
      </c>
      <c r="I169" s="581">
        <v>5.0962361370300195</v>
      </c>
      <c r="J169" s="581">
        <v>0</v>
      </c>
      <c r="K169" s="582">
        <v>0</v>
      </c>
      <c r="L169" s="582">
        <v>0</v>
      </c>
      <c r="M169" s="582">
        <v>0</v>
      </c>
      <c r="N169" s="581">
        <v>0</v>
      </c>
      <c r="O169" s="581">
        <v>0</v>
      </c>
      <c r="P169" s="582">
        <v>0</v>
      </c>
      <c r="Q169" s="582">
        <v>0</v>
      </c>
      <c r="R169" s="581">
        <v>0</v>
      </c>
      <c r="S169" s="581">
        <v>0</v>
      </c>
      <c r="T169" s="617">
        <v>0</v>
      </c>
      <c r="U169" s="581">
        <v>0</v>
      </c>
      <c r="V169" s="617">
        <v>0</v>
      </c>
      <c r="W169" s="581">
        <v>0</v>
      </c>
      <c r="X169" s="617">
        <v>0</v>
      </c>
      <c r="Y169" s="581">
        <v>0</v>
      </c>
      <c r="Z169" s="626">
        <v>0</v>
      </c>
      <c r="AB169" s="513" t="s">
        <v>45</v>
      </c>
      <c r="AC169" s="513" t="s">
        <v>46</v>
      </c>
      <c r="AD169" s="513" t="s">
        <v>47</v>
      </c>
      <c r="AE169" s="513" t="s">
        <v>669</v>
      </c>
      <c r="AF169" s="513" t="s">
        <v>670</v>
      </c>
    </row>
    <row r="170" spans="1:32" s="74" customFormat="1">
      <c r="A170" s="576"/>
      <c r="B170" s="577" t="s">
        <v>67</v>
      </c>
      <c r="C170" s="578">
        <v>200052.0333333333</v>
      </c>
      <c r="D170" s="579">
        <v>25038.791666666668</v>
      </c>
      <c r="E170" s="579">
        <v>167038.98333333331</v>
      </c>
      <c r="F170" s="579">
        <v>10688.558333333334</v>
      </c>
      <c r="G170" s="579">
        <v>10841.658333333333</v>
      </c>
      <c r="H170" s="579">
        <v>1519.5666666666668</v>
      </c>
      <c r="I170" s="578">
        <v>415179.59166666656</v>
      </c>
      <c r="J170" s="578"/>
      <c r="K170" s="579">
        <v>292780.21555555554</v>
      </c>
      <c r="L170" s="579">
        <v>96613.44666666667</v>
      </c>
      <c r="M170" s="579">
        <v>14043.228888888889</v>
      </c>
      <c r="N170" s="578">
        <v>403436.89111111109</v>
      </c>
      <c r="O170" s="578"/>
      <c r="P170" s="579"/>
      <c r="Q170" s="579"/>
      <c r="R170" s="578"/>
      <c r="S170" s="578">
        <v>62873.152222222227</v>
      </c>
      <c r="T170" s="616">
        <v>62873.152222222227</v>
      </c>
      <c r="U170" s="578">
        <v>15209.454444444445</v>
      </c>
      <c r="V170" s="616">
        <v>15209.454444444445</v>
      </c>
      <c r="W170" s="578">
        <v>102.53333333333333</v>
      </c>
      <c r="X170" s="616">
        <v>102.53333333333333</v>
      </c>
      <c r="Y170" s="578">
        <v>78185.140000000014</v>
      </c>
      <c r="Z170" s="625">
        <v>78185.140000000014</v>
      </c>
      <c r="AB170" s="512">
        <f>+GETPIVOTDATA("Grand Total FTE - Old",$A$2,"State","TX","Category","8","Category2","Two-Year")-GETPIVOTDATA("Grand Total FTE - Old",$A$2,"State","TX","Category","8b","Category2","8b")</f>
        <v>229907.0633333333</v>
      </c>
      <c r="AC170" s="74">
        <f>+GETPIVOTDATA("Grand Total FTE - Old",$A$2,"State","TX","Category","9","Category2","Two-Year")-GETPIVOTDATA("Grand Total FTE - Old",$A$2,"State","TX","Category","9b","Category2","9b")</f>
        <v>81403.992222222223</v>
      </c>
      <c r="AD170" s="74">
        <f>+GETPIVOTDATA("Grand Total FTE - Old",$A$2,"State","TX","Category","10","Category2","Two-Year")-GETPIVOTDATA("Grand Total FTE - Old",$A$2,"State","TX","Category","10b","Category2","10b")</f>
        <v>13940.695555555556</v>
      </c>
      <c r="AE170" s="74">
        <f>+GETPIVOTDATA("Grand Total FTE - Old",$A$2,"State","TX","Category","11b","Category2","11b")</f>
        <v>78185.140000000014</v>
      </c>
      <c r="AF170" s="74">
        <f>SUM(AB170:AE170)</f>
        <v>403436.89111111109</v>
      </c>
    </row>
    <row r="171" spans="1:32" s="74" customFormat="1">
      <c r="A171" s="576"/>
      <c r="B171" s="577" t="s">
        <v>507</v>
      </c>
      <c r="C171" s="578">
        <v>203537.75</v>
      </c>
      <c r="D171" s="579">
        <v>25617.641666666663</v>
      </c>
      <c r="E171" s="579">
        <v>169177.65833333333</v>
      </c>
      <c r="F171" s="579">
        <v>11484.391666666666</v>
      </c>
      <c r="G171" s="579">
        <v>11339.025</v>
      </c>
      <c r="H171" s="579">
        <v>1517.0333333333333</v>
      </c>
      <c r="I171" s="578">
        <v>422673.5</v>
      </c>
      <c r="J171" s="578"/>
      <c r="K171" s="579">
        <v>304272.15000000002</v>
      </c>
      <c r="L171" s="579">
        <v>100029.24222222222</v>
      </c>
      <c r="M171" s="579">
        <v>14660.586666666666</v>
      </c>
      <c r="N171" s="578">
        <v>418961.9788888889</v>
      </c>
      <c r="O171" s="578"/>
      <c r="P171" s="579"/>
      <c r="Q171" s="579"/>
      <c r="R171" s="578"/>
      <c r="S171" s="578">
        <v>63929.571111111116</v>
      </c>
      <c r="T171" s="616">
        <v>63929.571111111116</v>
      </c>
      <c r="U171" s="578">
        <v>16049.134444444444</v>
      </c>
      <c r="V171" s="616">
        <v>16049.134444444444</v>
      </c>
      <c r="W171" s="578">
        <v>296.60000000000002</v>
      </c>
      <c r="X171" s="616">
        <v>296.60000000000002</v>
      </c>
      <c r="Y171" s="578">
        <v>80275.305555555577</v>
      </c>
      <c r="Z171" s="625">
        <v>80275.305555555577</v>
      </c>
    </row>
    <row r="172" spans="1:32" s="74" customFormat="1">
      <c r="A172" s="604"/>
      <c r="B172" s="608" t="s">
        <v>509</v>
      </c>
      <c r="C172" s="578">
        <v>1.7424050176279324</v>
      </c>
      <c r="D172" s="579">
        <v>2.3118128370811086</v>
      </c>
      <c r="E172" s="579">
        <v>1.280344837667146</v>
      </c>
      <c r="F172" s="579">
        <v>7.4456564535129734</v>
      </c>
      <c r="G172" s="579">
        <v>4.5875515661426354</v>
      </c>
      <c r="H172" s="579">
        <v>-0.16671419483626013</v>
      </c>
      <c r="I172" s="578">
        <v>1.8049799372966251</v>
      </c>
      <c r="J172" s="578">
        <v>0</v>
      </c>
      <c r="K172" s="579">
        <v>3.9251062175216798</v>
      </c>
      <c r="L172" s="579">
        <v>3.5355281002867498</v>
      </c>
      <c r="M172" s="579">
        <v>4.3961241582143229</v>
      </c>
      <c r="N172" s="578">
        <v>3.848207271035585</v>
      </c>
      <c r="O172" s="578">
        <v>0</v>
      </c>
      <c r="P172" s="579">
        <v>0</v>
      </c>
      <c r="Q172" s="579">
        <v>0</v>
      </c>
      <c r="R172" s="578">
        <v>0</v>
      </c>
      <c r="S172" s="578">
        <v>1.6802384667385946</v>
      </c>
      <c r="T172" s="616">
        <v>1.6802384667385946</v>
      </c>
      <c r="U172" s="578">
        <v>5.5207765871359591</v>
      </c>
      <c r="V172" s="616">
        <v>5.5207765871359591</v>
      </c>
      <c r="W172" s="578">
        <v>189.27178153446036</v>
      </c>
      <c r="X172" s="616">
        <v>189.27178153446036</v>
      </c>
      <c r="Y172" s="578">
        <v>2.673353984600606</v>
      </c>
      <c r="Z172" s="625">
        <v>2.673353984600606</v>
      </c>
    </row>
    <row r="173" spans="1:32" s="74" customFormat="1">
      <c r="A173" s="575" t="s">
        <v>792</v>
      </c>
      <c r="B173" s="573" t="s">
        <v>499</v>
      </c>
      <c r="C173" s="570">
        <v>54933.116666666669</v>
      </c>
      <c r="D173" s="574">
        <v>38301.666666666672</v>
      </c>
      <c r="E173" s="574">
        <v>24207.033333333333</v>
      </c>
      <c r="F173" s="574">
        <v>13361.300000000001</v>
      </c>
      <c r="G173" s="574">
        <v>7887.1</v>
      </c>
      <c r="H173" s="574">
        <v>1675.7333333333333</v>
      </c>
      <c r="I173" s="570">
        <v>140365.95000000001</v>
      </c>
      <c r="J173" s="570"/>
      <c r="K173" s="574">
        <v>55625.73333333333</v>
      </c>
      <c r="L173" s="574">
        <v>33082.04</v>
      </c>
      <c r="M173" s="574">
        <v>11585.8</v>
      </c>
      <c r="N173" s="570">
        <v>100293.57333333333</v>
      </c>
      <c r="O173" s="570"/>
      <c r="P173" s="574"/>
      <c r="Q173" s="574"/>
      <c r="R173" s="570"/>
      <c r="S173" s="570"/>
      <c r="T173" s="615"/>
      <c r="U173" s="570"/>
      <c r="V173" s="615"/>
      <c r="W173" s="570">
        <v>928.43333333333328</v>
      </c>
      <c r="X173" s="615">
        <v>928.43333333333328</v>
      </c>
      <c r="Y173" s="570">
        <v>92699.44</v>
      </c>
      <c r="Z173" s="624">
        <v>92699.44</v>
      </c>
    </row>
    <row r="174" spans="1:32" s="74" customFormat="1">
      <c r="A174" s="576"/>
      <c r="B174" s="577" t="s">
        <v>497</v>
      </c>
      <c r="C174" s="578">
        <v>56209.066666666666</v>
      </c>
      <c r="D174" s="579">
        <v>40187.466666666667</v>
      </c>
      <c r="E174" s="579">
        <v>24689.1</v>
      </c>
      <c r="F174" s="579">
        <v>13539.5</v>
      </c>
      <c r="G174" s="579">
        <v>7907.6</v>
      </c>
      <c r="H174" s="579">
        <v>1624.3</v>
      </c>
      <c r="I174" s="578">
        <v>144157.03333333333</v>
      </c>
      <c r="J174" s="578"/>
      <c r="K174" s="579">
        <v>58434.233333333337</v>
      </c>
      <c r="L174" s="579">
        <v>34618.466666666667</v>
      </c>
      <c r="M174" s="579">
        <v>12267.699999999999</v>
      </c>
      <c r="N174" s="578">
        <v>105320.40000000001</v>
      </c>
      <c r="O174" s="578"/>
      <c r="P174" s="579"/>
      <c r="Q174" s="579"/>
      <c r="R174" s="578"/>
      <c r="S174" s="578"/>
      <c r="T174" s="616"/>
      <c r="U174" s="578"/>
      <c r="V174" s="616"/>
      <c r="W174" s="578">
        <v>1022.4333333333333</v>
      </c>
      <c r="X174" s="616">
        <v>1022.4333333333333</v>
      </c>
      <c r="Y174" s="578">
        <v>97219.03333333334</v>
      </c>
      <c r="Z174" s="625">
        <v>97219.03333333334</v>
      </c>
    </row>
    <row r="175" spans="1:32" s="74" customFormat="1">
      <c r="A175" s="576"/>
      <c r="B175" s="580" t="s">
        <v>511</v>
      </c>
      <c r="C175" s="581">
        <v>2.3227336758306336</v>
      </c>
      <c r="D175" s="582">
        <v>4.9235455376180202</v>
      </c>
      <c r="E175" s="582">
        <v>1.9914322421444968</v>
      </c>
      <c r="F175" s="582">
        <v>1.3337025588827351</v>
      </c>
      <c r="G175" s="582">
        <v>0.25991809410302896</v>
      </c>
      <c r="H175" s="582">
        <v>-3.0693029917250194</v>
      </c>
      <c r="I175" s="581">
        <v>2.7008568198578673</v>
      </c>
      <c r="J175" s="581">
        <v>0</v>
      </c>
      <c r="K175" s="582">
        <v>5.0489222014751105</v>
      </c>
      <c r="L175" s="582">
        <v>4.6442923914808949</v>
      </c>
      <c r="M175" s="582">
        <v>5.8856531271038657</v>
      </c>
      <c r="N175" s="581">
        <v>5.0121124411029445</v>
      </c>
      <c r="O175" s="581">
        <v>0</v>
      </c>
      <c r="P175" s="582">
        <v>0</v>
      </c>
      <c r="Q175" s="582">
        <v>0</v>
      </c>
      <c r="R175" s="581">
        <v>0</v>
      </c>
      <c r="S175" s="581">
        <v>0</v>
      </c>
      <c r="T175" s="617">
        <v>0</v>
      </c>
      <c r="U175" s="581">
        <v>0</v>
      </c>
      <c r="V175" s="617">
        <v>0</v>
      </c>
      <c r="W175" s="581">
        <v>10.124582630237319</v>
      </c>
      <c r="X175" s="617">
        <v>10.124582630237319</v>
      </c>
      <c r="Y175" s="581">
        <v>4.8755346670199273</v>
      </c>
      <c r="Z175" s="626">
        <v>4.8755346670199273</v>
      </c>
    </row>
    <row r="176" spans="1:32" s="74" customFormat="1">
      <c r="A176" s="576"/>
      <c r="B176" s="577" t="s">
        <v>495</v>
      </c>
      <c r="C176" s="578">
        <v>0</v>
      </c>
      <c r="D176" s="579">
        <v>0</v>
      </c>
      <c r="E176" s="579">
        <v>0</v>
      </c>
      <c r="F176" s="579">
        <v>0</v>
      </c>
      <c r="G176" s="579">
        <v>0</v>
      </c>
      <c r="H176" s="579">
        <v>0</v>
      </c>
      <c r="I176" s="578">
        <v>0</v>
      </c>
      <c r="J176" s="578"/>
      <c r="K176" s="579">
        <v>0</v>
      </c>
      <c r="L176" s="579">
        <v>0</v>
      </c>
      <c r="M176" s="579">
        <v>0</v>
      </c>
      <c r="N176" s="578">
        <v>0</v>
      </c>
      <c r="O176" s="578"/>
      <c r="P176" s="579"/>
      <c r="Q176" s="579"/>
      <c r="R176" s="578"/>
      <c r="S176" s="578"/>
      <c r="T176" s="616"/>
      <c r="U176" s="578"/>
      <c r="V176" s="616"/>
      <c r="W176" s="578">
        <v>0</v>
      </c>
      <c r="X176" s="616">
        <v>0</v>
      </c>
      <c r="Y176" s="578">
        <v>0</v>
      </c>
      <c r="Z176" s="625">
        <v>0</v>
      </c>
    </row>
    <row r="177" spans="1:26" s="74" customFormat="1">
      <c r="A177" s="576"/>
      <c r="B177" s="577" t="s">
        <v>493</v>
      </c>
      <c r="C177" s="578">
        <v>0</v>
      </c>
      <c r="D177" s="579">
        <v>0</v>
      </c>
      <c r="E177" s="579">
        <v>0</v>
      </c>
      <c r="F177" s="579">
        <v>0</v>
      </c>
      <c r="G177" s="579">
        <v>0</v>
      </c>
      <c r="H177" s="579">
        <v>0</v>
      </c>
      <c r="I177" s="578">
        <v>0</v>
      </c>
      <c r="J177" s="578"/>
      <c r="K177" s="579">
        <v>0</v>
      </c>
      <c r="L177" s="579">
        <v>0</v>
      </c>
      <c r="M177" s="579">
        <v>0</v>
      </c>
      <c r="N177" s="578">
        <v>0</v>
      </c>
      <c r="O177" s="578"/>
      <c r="P177" s="579"/>
      <c r="Q177" s="579"/>
      <c r="R177" s="578"/>
      <c r="S177" s="578"/>
      <c r="T177" s="616"/>
      <c r="U177" s="578"/>
      <c r="V177" s="616"/>
      <c r="W177" s="578">
        <v>0</v>
      </c>
      <c r="X177" s="616">
        <v>0</v>
      </c>
      <c r="Y177" s="578">
        <v>0</v>
      </c>
      <c r="Z177" s="625">
        <v>0</v>
      </c>
    </row>
    <row r="178" spans="1:26" s="74" customFormat="1">
      <c r="A178" s="576"/>
      <c r="B178" s="580" t="s">
        <v>513</v>
      </c>
      <c r="C178" s="581">
        <v>0</v>
      </c>
      <c r="D178" s="582">
        <v>0</v>
      </c>
      <c r="E178" s="582">
        <v>0</v>
      </c>
      <c r="F178" s="582">
        <v>0</v>
      </c>
      <c r="G178" s="582">
        <v>0</v>
      </c>
      <c r="H178" s="582">
        <v>0</v>
      </c>
      <c r="I178" s="581">
        <v>0</v>
      </c>
      <c r="J178" s="581">
        <v>0</v>
      </c>
      <c r="K178" s="582">
        <v>0</v>
      </c>
      <c r="L178" s="582">
        <v>0</v>
      </c>
      <c r="M178" s="582">
        <v>0</v>
      </c>
      <c r="N178" s="581">
        <v>0</v>
      </c>
      <c r="O178" s="581">
        <v>0</v>
      </c>
      <c r="P178" s="582">
        <v>0</v>
      </c>
      <c r="Q178" s="582">
        <v>0</v>
      </c>
      <c r="R178" s="581">
        <v>0</v>
      </c>
      <c r="S178" s="581">
        <v>0</v>
      </c>
      <c r="T178" s="617">
        <v>0</v>
      </c>
      <c r="U178" s="581">
        <v>0</v>
      </c>
      <c r="V178" s="617">
        <v>0</v>
      </c>
      <c r="W178" s="581">
        <v>0</v>
      </c>
      <c r="X178" s="617">
        <v>0</v>
      </c>
      <c r="Y178" s="581">
        <v>0</v>
      </c>
      <c r="Z178" s="626">
        <v>0</v>
      </c>
    </row>
    <row r="179" spans="1:26" s="74" customFormat="1">
      <c r="A179" s="576"/>
      <c r="B179" s="577" t="s">
        <v>501</v>
      </c>
      <c r="C179" s="578">
        <v>20267.875</v>
      </c>
      <c r="D179" s="579">
        <v>11652.479166666666</v>
      </c>
      <c r="E179" s="579">
        <v>2034.7083333333333</v>
      </c>
      <c r="F179" s="579">
        <v>981.41666666666674</v>
      </c>
      <c r="G179" s="579">
        <v>795.125</v>
      </c>
      <c r="H179" s="579">
        <v>0</v>
      </c>
      <c r="I179" s="578">
        <v>35731.604166666664</v>
      </c>
      <c r="J179" s="578"/>
      <c r="K179" s="579">
        <v>0</v>
      </c>
      <c r="L179" s="579">
        <v>0</v>
      </c>
      <c r="M179" s="579">
        <v>0</v>
      </c>
      <c r="N179" s="578">
        <v>0</v>
      </c>
      <c r="O179" s="578"/>
      <c r="P179" s="579"/>
      <c r="Q179" s="579"/>
      <c r="R179" s="578"/>
      <c r="S179" s="578"/>
      <c r="T179" s="616"/>
      <c r="U179" s="578"/>
      <c r="V179" s="616"/>
      <c r="W179" s="578">
        <v>0</v>
      </c>
      <c r="X179" s="616">
        <v>0</v>
      </c>
      <c r="Y179" s="578">
        <v>0</v>
      </c>
      <c r="Z179" s="625">
        <v>0</v>
      </c>
    </row>
    <row r="180" spans="1:26" s="74" customFormat="1">
      <c r="A180" s="576"/>
      <c r="B180" s="577" t="s">
        <v>503</v>
      </c>
      <c r="C180" s="578">
        <v>20595.125</v>
      </c>
      <c r="D180" s="579">
        <v>11614.5</v>
      </c>
      <c r="E180" s="579">
        <v>2064.0416666666665</v>
      </c>
      <c r="F180" s="579">
        <v>956.125</v>
      </c>
      <c r="G180" s="579">
        <v>814.58333333333326</v>
      </c>
      <c r="H180" s="579">
        <v>0</v>
      </c>
      <c r="I180" s="578">
        <v>36044.375</v>
      </c>
      <c r="J180" s="578"/>
      <c r="K180" s="579">
        <v>0</v>
      </c>
      <c r="L180" s="579">
        <v>0</v>
      </c>
      <c r="M180" s="579">
        <v>0</v>
      </c>
      <c r="N180" s="578">
        <v>0</v>
      </c>
      <c r="O180" s="578"/>
      <c r="P180" s="579"/>
      <c r="Q180" s="579"/>
      <c r="R180" s="578"/>
      <c r="S180" s="578"/>
      <c r="T180" s="616"/>
      <c r="U180" s="578"/>
      <c r="V180" s="616"/>
      <c r="W180" s="578">
        <v>0</v>
      </c>
      <c r="X180" s="616">
        <v>0</v>
      </c>
      <c r="Y180" s="578">
        <v>0</v>
      </c>
      <c r="Z180" s="625">
        <v>0</v>
      </c>
    </row>
    <row r="181" spans="1:26" s="74" customFormat="1">
      <c r="A181" s="576"/>
      <c r="B181" s="580" t="s">
        <v>505</v>
      </c>
      <c r="C181" s="581">
        <v>1.6146241280844686</v>
      </c>
      <c r="D181" s="582">
        <v>-0.3259320709648646</v>
      </c>
      <c r="E181" s="582">
        <v>1.4416480658571011</v>
      </c>
      <c r="F181" s="582">
        <v>-2.5770569754606512</v>
      </c>
      <c r="G181" s="582">
        <v>2.4472043179793439</v>
      </c>
      <c r="H181" s="582">
        <v>0</v>
      </c>
      <c r="I181" s="581">
        <v>0.87533386935119384</v>
      </c>
      <c r="J181" s="581">
        <v>0</v>
      </c>
      <c r="K181" s="582">
        <v>0</v>
      </c>
      <c r="L181" s="582">
        <v>0</v>
      </c>
      <c r="M181" s="582">
        <v>0</v>
      </c>
      <c r="N181" s="581">
        <v>0</v>
      </c>
      <c r="O181" s="581">
        <v>0</v>
      </c>
      <c r="P181" s="582">
        <v>0</v>
      </c>
      <c r="Q181" s="582">
        <v>0</v>
      </c>
      <c r="R181" s="581">
        <v>0</v>
      </c>
      <c r="S181" s="581">
        <v>0</v>
      </c>
      <c r="T181" s="617">
        <v>0</v>
      </c>
      <c r="U181" s="581">
        <v>0</v>
      </c>
      <c r="V181" s="617">
        <v>0</v>
      </c>
      <c r="W181" s="581">
        <v>0</v>
      </c>
      <c r="X181" s="617">
        <v>0</v>
      </c>
      <c r="Y181" s="581">
        <v>0</v>
      </c>
      <c r="Z181" s="626">
        <v>0</v>
      </c>
    </row>
    <row r="182" spans="1:26" s="74" customFormat="1">
      <c r="A182" s="576"/>
      <c r="B182" s="577" t="s">
        <v>67</v>
      </c>
      <c r="C182" s="578">
        <v>75200.991666666669</v>
      </c>
      <c r="D182" s="579">
        <v>49954.145833333328</v>
      </c>
      <c r="E182" s="579">
        <v>26241.741666666669</v>
      </c>
      <c r="F182" s="579">
        <v>14342.716666666667</v>
      </c>
      <c r="G182" s="579">
        <v>8682.2249999999985</v>
      </c>
      <c r="H182" s="579">
        <v>1675.7333333333333</v>
      </c>
      <c r="I182" s="578">
        <v>176097.55416666667</v>
      </c>
      <c r="J182" s="578"/>
      <c r="K182" s="579">
        <v>55625.73333333333</v>
      </c>
      <c r="L182" s="579">
        <v>33082.04</v>
      </c>
      <c r="M182" s="579">
        <v>11585.8</v>
      </c>
      <c r="N182" s="578">
        <v>100293.57333333333</v>
      </c>
      <c r="O182" s="578"/>
      <c r="P182" s="579"/>
      <c r="Q182" s="579"/>
      <c r="R182" s="578"/>
      <c r="S182" s="578"/>
      <c r="T182" s="616"/>
      <c r="U182" s="578"/>
      <c r="V182" s="616"/>
      <c r="W182" s="578">
        <v>928.43333333333328</v>
      </c>
      <c r="X182" s="616">
        <v>928.43333333333328</v>
      </c>
      <c r="Y182" s="578">
        <v>92699.44</v>
      </c>
      <c r="Z182" s="625">
        <v>92699.44</v>
      </c>
    </row>
    <row r="183" spans="1:26" s="74" customFormat="1">
      <c r="A183" s="576"/>
      <c r="B183" s="577" t="s">
        <v>507</v>
      </c>
      <c r="C183" s="578">
        <v>76804.191666666666</v>
      </c>
      <c r="D183" s="579">
        <v>51801.966666666667</v>
      </c>
      <c r="E183" s="579">
        <v>26753.141666666663</v>
      </c>
      <c r="F183" s="579">
        <v>14495.625</v>
      </c>
      <c r="G183" s="579">
        <v>8722.1833333333325</v>
      </c>
      <c r="H183" s="579">
        <v>1624.3</v>
      </c>
      <c r="I183" s="578">
        <v>180201.4083333333</v>
      </c>
      <c r="J183" s="578"/>
      <c r="K183" s="579">
        <v>58434.233333333337</v>
      </c>
      <c r="L183" s="579">
        <v>34618.466666666667</v>
      </c>
      <c r="M183" s="579">
        <v>12267.699999999999</v>
      </c>
      <c r="N183" s="578">
        <v>105320.40000000001</v>
      </c>
      <c r="O183" s="578"/>
      <c r="P183" s="579"/>
      <c r="Q183" s="579"/>
      <c r="R183" s="578"/>
      <c r="S183" s="578"/>
      <c r="T183" s="616"/>
      <c r="U183" s="578"/>
      <c r="V183" s="616"/>
      <c r="W183" s="578">
        <v>1022.4333333333333</v>
      </c>
      <c r="X183" s="616">
        <v>1022.4333333333333</v>
      </c>
      <c r="Y183" s="578">
        <v>97219.03333333334</v>
      </c>
      <c r="Z183" s="625">
        <v>97219.03333333334</v>
      </c>
    </row>
    <row r="184" spans="1:26" s="74" customFormat="1">
      <c r="A184" s="604"/>
      <c r="B184" s="608" t="s">
        <v>509</v>
      </c>
      <c r="C184" s="578">
        <v>2.1318867803050874</v>
      </c>
      <c r="D184" s="579">
        <v>3.699033989087503</v>
      </c>
      <c r="E184" s="579">
        <v>1.948803575982136</v>
      </c>
      <c r="F184" s="579">
        <v>1.0661043990968668</v>
      </c>
      <c r="G184" s="579">
        <v>0.46023148828018107</v>
      </c>
      <c r="H184" s="579">
        <v>-3.0693029917250194</v>
      </c>
      <c r="I184" s="578">
        <v>2.3304435919550333</v>
      </c>
      <c r="J184" s="578">
        <v>0</v>
      </c>
      <c r="K184" s="579">
        <v>5.0489222014751105</v>
      </c>
      <c r="L184" s="579">
        <v>4.6442923914808949</v>
      </c>
      <c r="M184" s="579">
        <v>5.8856531271038657</v>
      </c>
      <c r="N184" s="578">
        <v>5.0121124411029445</v>
      </c>
      <c r="O184" s="578">
        <v>0</v>
      </c>
      <c r="P184" s="579">
        <v>0</v>
      </c>
      <c r="Q184" s="579">
        <v>0</v>
      </c>
      <c r="R184" s="578">
        <v>0</v>
      </c>
      <c r="S184" s="578">
        <v>0</v>
      </c>
      <c r="T184" s="616">
        <v>0</v>
      </c>
      <c r="U184" s="578">
        <v>0</v>
      </c>
      <c r="V184" s="616">
        <v>0</v>
      </c>
      <c r="W184" s="578">
        <v>10.124582630237319</v>
      </c>
      <c r="X184" s="616">
        <v>10.124582630237319</v>
      </c>
      <c r="Y184" s="578">
        <v>4.8755346670199273</v>
      </c>
      <c r="Z184" s="625">
        <v>4.8755346670199273</v>
      </c>
    </row>
    <row r="185" spans="1:26" s="74" customFormat="1">
      <c r="A185" s="575" t="s">
        <v>771</v>
      </c>
      <c r="B185" s="573" t="s">
        <v>499</v>
      </c>
      <c r="C185" s="570">
        <v>20487.466666666667</v>
      </c>
      <c r="D185" s="574"/>
      <c r="E185" s="574">
        <v>8410.4333333333325</v>
      </c>
      <c r="F185" s="574"/>
      <c r="G185" s="574"/>
      <c r="H185" s="574">
        <v>18471.103333333333</v>
      </c>
      <c r="I185" s="570">
        <v>47369.003333333334</v>
      </c>
      <c r="J185" s="570">
        <v>2812.3</v>
      </c>
      <c r="K185" s="574"/>
      <c r="L185" s="574">
        <v>1857.7666666666667</v>
      </c>
      <c r="M185" s="574">
        <v>10817.266666666666</v>
      </c>
      <c r="N185" s="570">
        <v>15487.333333333332</v>
      </c>
      <c r="O185" s="570"/>
      <c r="P185" s="574"/>
      <c r="Q185" s="574"/>
      <c r="R185" s="570"/>
      <c r="S185" s="570"/>
      <c r="T185" s="615"/>
      <c r="U185" s="570"/>
      <c r="V185" s="615"/>
      <c r="W185" s="570"/>
      <c r="X185" s="615"/>
      <c r="Y185" s="570"/>
      <c r="Z185" s="624"/>
    </row>
    <row r="186" spans="1:26" s="74" customFormat="1">
      <c r="A186" s="576"/>
      <c r="B186" s="577" t="s">
        <v>497</v>
      </c>
      <c r="C186" s="578">
        <v>20961.966666666667</v>
      </c>
      <c r="D186" s="579"/>
      <c r="E186" s="579">
        <v>8260.2333333333336</v>
      </c>
      <c r="F186" s="579"/>
      <c r="G186" s="579"/>
      <c r="H186" s="579">
        <v>18645.203333333331</v>
      </c>
      <c r="I186" s="578">
        <v>47867.403333333335</v>
      </c>
      <c r="J186" s="578">
        <v>2805.6333333333332</v>
      </c>
      <c r="K186" s="579"/>
      <c r="L186" s="579">
        <v>1874.5333333333333</v>
      </c>
      <c r="M186" s="579">
        <v>11191.916666666668</v>
      </c>
      <c r="N186" s="578">
        <v>15872.083333333334</v>
      </c>
      <c r="O186" s="578"/>
      <c r="P186" s="579"/>
      <c r="Q186" s="579"/>
      <c r="R186" s="578"/>
      <c r="S186" s="578"/>
      <c r="T186" s="616"/>
      <c r="U186" s="578"/>
      <c r="V186" s="616"/>
      <c r="W186" s="578"/>
      <c r="X186" s="616"/>
      <c r="Y186" s="578"/>
      <c r="Z186" s="625"/>
    </row>
    <row r="187" spans="1:26" s="74" customFormat="1">
      <c r="A187" s="576"/>
      <c r="B187" s="580" t="s">
        <v>511</v>
      </c>
      <c r="C187" s="581">
        <v>2.3160501379705316</v>
      </c>
      <c r="D187" s="582">
        <v>0</v>
      </c>
      <c r="E187" s="582">
        <v>-1.7858770653909899</v>
      </c>
      <c r="F187" s="582">
        <v>0</v>
      </c>
      <c r="G187" s="582">
        <v>0</v>
      </c>
      <c r="H187" s="582">
        <v>0.94255333240334438</v>
      </c>
      <c r="I187" s="581">
        <v>1.052164843944045</v>
      </c>
      <c r="J187" s="581">
        <v>-0.23705389420285777</v>
      </c>
      <c r="K187" s="582">
        <v>0</v>
      </c>
      <c r="L187" s="582">
        <v>0.90251735955358503</v>
      </c>
      <c r="M187" s="582">
        <v>3.4634442465441189</v>
      </c>
      <c r="N187" s="581">
        <v>2.484288235547317</v>
      </c>
      <c r="O187" s="581">
        <v>0</v>
      </c>
      <c r="P187" s="582">
        <v>0</v>
      </c>
      <c r="Q187" s="582">
        <v>0</v>
      </c>
      <c r="R187" s="581">
        <v>0</v>
      </c>
      <c r="S187" s="581">
        <v>0</v>
      </c>
      <c r="T187" s="617">
        <v>0</v>
      </c>
      <c r="U187" s="581">
        <v>0</v>
      </c>
      <c r="V187" s="617">
        <v>0</v>
      </c>
      <c r="W187" s="581">
        <v>0</v>
      </c>
      <c r="X187" s="617">
        <v>0</v>
      </c>
      <c r="Y187" s="581">
        <v>0</v>
      </c>
      <c r="Z187" s="626">
        <v>0</v>
      </c>
    </row>
    <row r="188" spans="1:26" s="74" customFormat="1">
      <c r="A188" s="576"/>
      <c r="B188" s="577" t="s">
        <v>495</v>
      </c>
      <c r="C188" s="578">
        <v>0</v>
      </c>
      <c r="D188" s="579"/>
      <c r="E188" s="579">
        <v>0</v>
      </c>
      <c r="F188" s="579"/>
      <c r="G188" s="579"/>
      <c r="H188" s="579">
        <v>0</v>
      </c>
      <c r="I188" s="578">
        <v>0</v>
      </c>
      <c r="J188" s="578">
        <v>0</v>
      </c>
      <c r="K188" s="579"/>
      <c r="L188" s="579">
        <v>0</v>
      </c>
      <c r="M188" s="579">
        <v>0</v>
      </c>
      <c r="N188" s="578">
        <v>0</v>
      </c>
      <c r="O188" s="578"/>
      <c r="P188" s="579"/>
      <c r="Q188" s="579"/>
      <c r="R188" s="578"/>
      <c r="S188" s="578"/>
      <c r="T188" s="616"/>
      <c r="U188" s="578"/>
      <c r="V188" s="616"/>
      <c r="W188" s="578"/>
      <c r="X188" s="616"/>
      <c r="Y188" s="578"/>
      <c r="Z188" s="625"/>
    </row>
    <row r="189" spans="1:26" s="74" customFormat="1">
      <c r="A189" s="576"/>
      <c r="B189" s="577" t="s">
        <v>493</v>
      </c>
      <c r="C189" s="578">
        <v>0</v>
      </c>
      <c r="D189" s="579"/>
      <c r="E189" s="579">
        <v>0</v>
      </c>
      <c r="F189" s="579"/>
      <c r="G189" s="579"/>
      <c r="H189" s="579">
        <v>0</v>
      </c>
      <c r="I189" s="578">
        <v>0</v>
      </c>
      <c r="J189" s="578">
        <v>0</v>
      </c>
      <c r="K189" s="579"/>
      <c r="L189" s="579">
        <v>0</v>
      </c>
      <c r="M189" s="579">
        <v>0</v>
      </c>
      <c r="N189" s="578">
        <v>0</v>
      </c>
      <c r="O189" s="578"/>
      <c r="P189" s="579"/>
      <c r="Q189" s="579"/>
      <c r="R189" s="578"/>
      <c r="S189" s="578"/>
      <c r="T189" s="616"/>
      <c r="U189" s="578"/>
      <c r="V189" s="616"/>
      <c r="W189" s="578"/>
      <c r="X189" s="616"/>
      <c r="Y189" s="578"/>
      <c r="Z189" s="625"/>
    </row>
    <row r="190" spans="1:26" s="74" customFormat="1">
      <c r="A190" s="576"/>
      <c r="B190" s="580" t="s">
        <v>513</v>
      </c>
      <c r="C190" s="581">
        <v>0</v>
      </c>
      <c r="D190" s="582">
        <v>0</v>
      </c>
      <c r="E190" s="582">
        <v>0</v>
      </c>
      <c r="F190" s="582">
        <v>0</v>
      </c>
      <c r="G190" s="582">
        <v>0</v>
      </c>
      <c r="H190" s="582">
        <v>0</v>
      </c>
      <c r="I190" s="581">
        <v>0</v>
      </c>
      <c r="J190" s="581">
        <v>0</v>
      </c>
      <c r="K190" s="582">
        <v>0</v>
      </c>
      <c r="L190" s="582">
        <v>0</v>
      </c>
      <c r="M190" s="582">
        <v>0</v>
      </c>
      <c r="N190" s="581">
        <v>0</v>
      </c>
      <c r="O190" s="581">
        <v>0</v>
      </c>
      <c r="P190" s="582">
        <v>0</v>
      </c>
      <c r="Q190" s="582">
        <v>0</v>
      </c>
      <c r="R190" s="581">
        <v>0</v>
      </c>
      <c r="S190" s="581">
        <v>0</v>
      </c>
      <c r="T190" s="617">
        <v>0</v>
      </c>
      <c r="U190" s="581">
        <v>0</v>
      </c>
      <c r="V190" s="617">
        <v>0</v>
      </c>
      <c r="W190" s="581">
        <v>0</v>
      </c>
      <c r="X190" s="617">
        <v>0</v>
      </c>
      <c r="Y190" s="581">
        <v>0</v>
      </c>
      <c r="Z190" s="626">
        <v>0</v>
      </c>
    </row>
    <row r="191" spans="1:26" s="74" customFormat="1">
      <c r="A191" s="576"/>
      <c r="B191" s="577" t="s">
        <v>501</v>
      </c>
      <c r="C191" s="578">
        <v>4955.666666666667</v>
      </c>
      <c r="D191" s="579"/>
      <c r="E191" s="579">
        <v>2595.1666666666665</v>
      </c>
      <c r="F191" s="579"/>
      <c r="G191" s="579"/>
      <c r="H191" s="579">
        <v>409.02083333333337</v>
      </c>
      <c r="I191" s="578">
        <v>7959.854166666667</v>
      </c>
      <c r="J191" s="578">
        <v>0</v>
      </c>
      <c r="K191" s="579"/>
      <c r="L191" s="579">
        <v>0</v>
      </c>
      <c r="M191" s="579">
        <v>0</v>
      </c>
      <c r="N191" s="578">
        <v>0</v>
      </c>
      <c r="O191" s="578"/>
      <c r="P191" s="579"/>
      <c r="Q191" s="579"/>
      <c r="R191" s="578"/>
      <c r="S191" s="578"/>
      <c r="T191" s="616"/>
      <c r="U191" s="578"/>
      <c r="V191" s="616"/>
      <c r="W191" s="578"/>
      <c r="X191" s="616"/>
      <c r="Y191" s="578"/>
      <c r="Z191" s="625"/>
    </row>
    <row r="192" spans="1:26" s="74" customFormat="1">
      <c r="A192" s="576"/>
      <c r="B192" s="577" t="s">
        <v>503</v>
      </c>
      <c r="C192" s="578">
        <v>4936.708333333333</v>
      </c>
      <c r="D192" s="579"/>
      <c r="E192" s="579">
        <v>2570.125</v>
      </c>
      <c r="F192" s="579"/>
      <c r="G192" s="579"/>
      <c r="H192" s="579">
        <v>442.66666666666663</v>
      </c>
      <c r="I192" s="578">
        <v>7949.5</v>
      </c>
      <c r="J192" s="578">
        <v>0</v>
      </c>
      <c r="K192" s="579"/>
      <c r="L192" s="579">
        <v>0</v>
      </c>
      <c r="M192" s="579">
        <v>0</v>
      </c>
      <c r="N192" s="578">
        <v>0</v>
      </c>
      <c r="O192" s="578"/>
      <c r="P192" s="579"/>
      <c r="Q192" s="579"/>
      <c r="R192" s="578"/>
      <c r="S192" s="578"/>
      <c r="T192" s="616"/>
      <c r="U192" s="578"/>
      <c r="V192" s="616"/>
      <c r="W192" s="578"/>
      <c r="X192" s="616"/>
      <c r="Y192" s="578"/>
      <c r="Z192" s="625"/>
    </row>
    <row r="193" spans="1:26" s="74" customFormat="1">
      <c r="A193" s="576"/>
      <c r="B193" s="580" t="s">
        <v>505</v>
      </c>
      <c r="C193" s="581">
        <v>-0.38255868702496681</v>
      </c>
      <c r="D193" s="582">
        <v>0</v>
      </c>
      <c r="E193" s="582">
        <v>-0.96493481471966547</v>
      </c>
      <c r="F193" s="582">
        <v>0</v>
      </c>
      <c r="G193" s="582">
        <v>0</v>
      </c>
      <c r="H193" s="582">
        <v>8.2259461111393879</v>
      </c>
      <c r="I193" s="581">
        <v>-0.13007985384993398</v>
      </c>
      <c r="J193" s="581">
        <v>0</v>
      </c>
      <c r="K193" s="582">
        <v>0</v>
      </c>
      <c r="L193" s="582">
        <v>0</v>
      </c>
      <c r="M193" s="582">
        <v>0</v>
      </c>
      <c r="N193" s="581">
        <v>0</v>
      </c>
      <c r="O193" s="581">
        <v>0</v>
      </c>
      <c r="P193" s="582">
        <v>0</v>
      </c>
      <c r="Q193" s="582">
        <v>0</v>
      </c>
      <c r="R193" s="581">
        <v>0</v>
      </c>
      <c r="S193" s="581">
        <v>0</v>
      </c>
      <c r="T193" s="617">
        <v>0</v>
      </c>
      <c r="U193" s="581">
        <v>0</v>
      </c>
      <c r="V193" s="617">
        <v>0</v>
      </c>
      <c r="W193" s="581">
        <v>0</v>
      </c>
      <c r="X193" s="617">
        <v>0</v>
      </c>
      <c r="Y193" s="581">
        <v>0</v>
      </c>
      <c r="Z193" s="626">
        <v>0</v>
      </c>
    </row>
    <row r="194" spans="1:26" s="74" customFormat="1">
      <c r="A194" s="576"/>
      <c r="B194" s="577" t="s">
        <v>67</v>
      </c>
      <c r="C194" s="578">
        <v>25443.133333333335</v>
      </c>
      <c r="D194" s="579"/>
      <c r="E194" s="579">
        <v>11005.599999999999</v>
      </c>
      <c r="F194" s="579"/>
      <c r="G194" s="579"/>
      <c r="H194" s="579">
        <v>18880.124166666665</v>
      </c>
      <c r="I194" s="578">
        <v>55328.857499999998</v>
      </c>
      <c r="J194" s="578">
        <v>2812.3</v>
      </c>
      <c r="K194" s="579"/>
      <c r="L194" s="579">
        <v>1857.7666666666667</v>
      </c>
      <c r="M194" s="579">
        <v>10817.266666666666</v>
      </c>
      <c r="N194" s="578">
        <v>15487.333333333332</v>
      </c>
      <c r="O194" s="578"/>
      <c r="P194" s="579"/>
      <c r="Q194" s="579"/>
      <c r="R194" s="578"/>
      <c r="S194" s="578"/>
      <c r="T194" s="616"/>
      <c r="U194" s="578"/>
      <c r="V194" s="616"/>
      <c r="W194" s="578"/>
      <c r="X194" s="616"/>
      <c r="Y194" s="578"/>
      <c r="Z194" s="625"/>
    </row>
    <row r="195" spans="1:26" s="74" customFormat="1">
      <c r="A195" s="576"/>
      <c r="B195" s="577" t="s">
        <v>507</v>
      </c>
      <c r="C195" s="578">
        <v>25898.674999999999</v>
      </c>
      <c r="D195" s="579"/>
      <c r="E195" s="579">
        <v>10830.358333333334</v>
      </c>
      <c r="F195" s="579"/>
      <c r="G195" s="579"/>
      <c r="H195" s="579">
        <v>19087.870000000003</v>
      </c>
      <c r="I195" s="578">
        <v>55816.903333333335</v>
      </c>
      <c r="J195" s="578">
        <v>2805.6333333333332</v>
      </c>
      <c r="K195" s="579"/>
      <c r="L195" s="579">
        <v>1874.5333333333333</v>
      </c>
      <c r="M195" s="579">
        <v>11191.916666666668</v>
      </c>
      <c r="N195" s="578">
        <v>15872.083333333334</v>
      </c>
      <c r="O195" s="578"/>
      <c r="P195" s="579"/>
      <c r="Q195" s="579"/>
      <c r="R195" s="578"/>
      <c r="S195" s="578"/>
      <c r="T195" s="616"/>
      <c r="U195" s="578"/>
      <c r="V195" s="616"/>
      <c r="W195" s="578"/>
      <c r="X195" s="616"/>
      <c r="Y195" s="578"/>
      <c r="Z195" s="625"/>
    </row>
    <row r="196" spans="1:26" s="74" customFormat="1">
      <c r="A196" s="604"/>
      <c r="B196" s="608" t="s">
        <v>509</v>
      </c>
      <c r="C196" s="578">
        <v>1.7904306859479999</v>
      </c>
      <c r="D196" s="579">
        <v>0</v>
      </c>
      <c r="E196" s="579">
        <v>-1.5922954374742404</v>
      </c>
      <c r="F196" s="579">
        <v>0</v>
      </c>
      <c r="G196" s="579">
        <v>0</v>
      </c>
      <c r="H196" s="579">
        <v>1.1003414569704919</v>
      </c>
      <c r="I196" s="578">
        <v>0.88208189249766678</v>
      </c>
      <c r="J196" s="578">
        <v>-0.23705389420285777</v>
      </c>
      <c r="K196" s="579">
        <v>0</v>
      </c>
      <c r="L196" s="579">
        <v>0.90251735955358503</v>
      </c>
      <c r="M196" s="579">
        <v>3.4634442465441189</v>
      </c>
      <c r="N196" s="578">
        <v>2.484288235547317</v>
      </c>
      <c r="O196" s="578">
        <v>0</v>
      </c>
      <c r="P196" s="579">
        <v>0</v>
      </c>
      <c r="Q196" s="579">
        <v>0</v>
      </c>
      <c r="R196" s="578">
        <v>0</v>
      </c>
      <c r="S196" s="578">
        <v>0</v>
      </c>
      <c r="T196" s="616">
        <v>0</v>
      </c>
      <c r="U196" s="578">
        <v>0</v>
      </c>
      <c r="V196" s="616">
        <v>0</v>
      </c>
      <c r="W196" s="578">
        <v>0</v>
      </c>
      <c r="X196" s="616">
        <v>0</v>
      </c>
      <c r="Y196" s="578">
        <v>0</v>
      </c>
      <c r="Z196" s="625">
        <v>0</v>
      </c>
    </row>
    <row r="197" spans="1:26">
      <c r="A197" s="570" t="s">
        <v>500</v>
      </c>
      <c r="B197" s="572"/>
      <c r="C197" s="570">
        <v>714965.37333333329</v>
      </c>
      <c r="D197" s="574">
        <v>215040.98333333334</v>
      </c>
      <c r="E197" s="574">
        <v>499817.46666666667</v>
      </c>
      <c r="F197" s="574">
        <v>194404.73333333331</v>
      </c>
      <c r="G197" s="574">
        <v>101616.1</v>
      </c>
      <c r="H197" s="574">
        <v>62914.436666666668</v>
      </c>
      <c r="I197" s="570">
        <v>1788759.0933333335</v>
      </c>
      <c r="J197" s="570">
        <v>77003.700000000012</v>
      </c>
      <c r="K197" s="574">
        <v>790837.94666666666</v>
      </c>
      <c r="L197" s="574">
        <v>488662.32400000002</v>
      </c>
      <c r="M197" s="574">
        <v>138861.55433333333</v>
      </c>
      <c r="N197" s="570">
        <v>1495365.5249999997</v>
      </c>
      <c r="O197" s="570">
        <v>70182.517777777757</v>
      </c>
      <c r="P197" s="574">
        <v>6939.4588888888893</v>
      </c>
      <c r="Q197" s="574">
        <v>12994.2</v>
      </c>
      <c r="R197" s="570">
        <v>90116.176666666652</v>
      </c>
      <c r="S197" s="570">
        <v>59946.966666666667</v>
      </c>
      <c r="T197" s="615">
        <v>59946.966666666667</v>
      </c>
      <c r="U197" s="570">
        <v>12711.833333333334</v>
      </c>
      <c r="V197" s="615">
        <v>12711.833333333334</v>
      </c>
      <c r="W197" s="570">
        <v>1030.9666666666667</v>
      </c>
      <c r="X197" s="615">
        <v>1030.9666666666667</v>
      </c>
      <c r="Y197" s="570">
        <v>165460.77333333332</v>
      </c>
      <c r="Z197" s="624">
        <v>165460.77333333332</v>
      </c>
    </row>
    <row r="198" spans="1:26" s="74" customFormat="1">
      <c r="A198" s="570" t="s">
        <v>498</v>
      </c>
      <c r="B198" s="572"/>
      <c r="C198" s="570">
        <v>728592.80999999994</v>
      </c>
      <c r="D198" s="574">
        <v>217417.64444444448</v>
      </c>
      <c r="E198" s="574">
        <v>502421.68333333335</v>
      </c>
      <c r="F198" s="574">
        <v>199837.06333333335</v>
      </c>
      <c r="G198" s="574">
        <v>103510.84999999999</v>
      </c>
      <c r="H198" s="574">
        <v>63910.521666666667</v>
      </c>
      <c r="I198" s="570">
        <v>1815690.5727777779</v>
      </c>
      <c r="J198" s="570">
        <v>81537.700000000012</v>
      </c>
      <c r="K198" s="574">
        <v>838636.0326666669</v>
      </c>
      <c r="L198" s="574">
        <v>508889.27833333326</v>
      </c>
      <c r="M198" s="574">
        <v>145841.633</v>
      </c>
      <c r="N198" s="570">
        <v>1574904.6439999999</v>
      </c>
      <c r="O198" s="570">
        <v>73712.324444444443</v>
      </c>
      <c r="P198" s="574">
        <v>7128.8944444444442</v>
      </c>
      <c r="Q198" s="574">
        <v>14085.35</v>
      </c>
      <c r="R198" s="570">
        <v>94926.568888888884</v>
      </c>
      <c r="S198" s="570">
        <v>61059.133333333331</v>
      </c>
      <c r="T198" s="615">
        <v>61059.133333333331</v>
      </c>
      <c r="U198" s="570">
        <v>13175.8</v>
      </c>
      <c r="V198" s="615">
        <v>13175.8</v>
      </c>
      <c r="W198" s="570">
        <v>1319.0333333333333</v>
      </c>
      <c r="X198" s="615">
        <v>1319.0333333333333</v>
      </c>
      <c r="Y198" s="570">
        <v>171750.56666666668</v>
      </c>
      <c r="Z198" s="624">
        <v>171750.56666666668</v>
      </c>
    </row>
    <row r="199" spans="1:26" s="74" customFormat="1">
      <c r="A199" s="575" t="s">
        <v>512</v>
      </c>
      <c r="B199" s="587"/>
      <c r="C199" s="588">
        <v>1.9060275049590718</v>
      </c>
      <c r="D199" s="589">
        <v>1.1052130967179996</v>
      </c>
      <c r="E199" s="589">
        <v>0.52103354531297885</v>
      </c>
      <c r="F199" s="589">
        <v>2.7943403984333646</v>
      </c>
      <c r="G199" s="589">
        <v>1.8646159417651194</v>
      </c>
      <c r="H199" s="589">
        <v>1.5832375727648527</v>
      </c>
      <c r="I199" s="588">
        <v>1.5055956693563406</v>
      </c>
      <c r="J199" s="588">
        <v>5.8880287570597245</v>
      </c>
      <c r="K199" s="589">
        <v>6.0439798319574374</v>
      </c>
      <c r="L199" s="589">
        <v>4.1392498131968321</v>
      </c>
      <c r="M199" s="589">
        <v>5.0266459281531688</v>
      </c>
      <c r="N199" s="588">
        <v>5.3190419111742386</v>
      </c>
      <c r="O199" s="588">
        <v>5.0294671357378204</v>
      </c>
      <c r="P199" s="589">
        <v>2.7298318008464535</v>
      </c>
      <c r="Q199" s="589">
        <v>8.3972079851010424</v>
      </c>
      <c r="R199" s="588">
        <v>5.3379896930331743</v>
      </c>
      <c r="S199" s="588">
        <v>1.8552509468090923</v>
      </c>
      <c r="T199" s="621">
        <v>1.8552509468090923</v>
      </c>
      <c r="U199" s="588">
        <v>3.6498800330400698</v>
      </c>
      <c r="V199" s="621">
        <v>3.6498800330400698</v>
      </c>
      <c r="W199" s="588">
        <v>27.94141420673154</v>
      </c>
      <c r="X199" s="621">
        <v>27.94141420673154</v>
      </c>
      <c r="Y199" s="588">
        <v>3.8013803553680345</v>
      </c>
      <c r="Z199" s="630">
        <v>3.8013803553680345</v>
      </c>
    </row>
    <row r="200" spans="1:26">
      <c r="A200" s="570" t="s">
        <v>496</v>
      </c>
      <c r="B200" s="572"/>
      <c r="C200" s="570">
        <v>0</v>
      </c>
      <c r="D200" s="574">
        <v>0</v>
      </c>
      <c r="E200" s="574">
        <v>0</v>
      </c>
      <c r="F200" s="574">
        <v>0</v>
      </c>
      <c r="G200" s="574">
        <v>0</v>
      </c>
      <c r="H200" s="574">
        <v>0</v>
      </c>
      <c r="I200" s="570">
        <v>0</v>
      </c>
      <c r="J200" s="570">
        <v>10608.951111111111</v>
      </c>
      <c r="K200" s="574">
        <v>39275.869999999995</v>
      </c>
      <c r="L200" s="574">
        <v>12103.255555555555</v>
      </c>
      <c r="M200" s="574">
        <v>1390.2999999999997</v>
      </c>
      <c r="N200" s="570">
        <v>63378.376666666663</v>
      </c>
      <c r="O200" s="570">
        <v>6980.4503777777791</v>
      </c>
      <c r="P200" s="574">
        <v>24965.529122222222</v>
      </c>
      <c r="Q200" s="574">
        <v>106.50222222222222</v>
      </c>
      <c r="R200" s="570">
        <v>32052.481722222223</v>
      </c>
      <c r="S200" s="570">
        <v>2926.1855555555558</v>
      </c>
      <c r="T200" s="615">
        <v>2926.1855555555558</v>
      </c>
      <c r="U200" s="570">
        <v>2497.6211111111111</v>
      </c>
      <c r="V200" s="615">
        <v>2497.6211111111111</v>
      </c>
      <c r="W200" s="570">
        <v>0</v>
      </c>
      <c r="X200" s="615">
        <v>0</v>
      </c>
      <c r="Y200" s="570">
        <v>5423.8066666666664</v>
      </c>
      <c r="Z200" s="624">
        <v>5423.8066666666664</v>
      </c>
    </row>
    <row r="201" spans="1:26" s="74" customFormat="1">
      <c r="A201" s="570" t="s">
        <v>494</v>
      </c>
      <c r="B201" s="572"/>
      <c r="C201" s="570">
        <v>0</v>
      </c>
      <c r="D201" s="574">
        <v>0</v>
      </c>
      <c r="E201" s="574">
        <v>0</v>
      </c>
      <c r="F201" s="574">
        <v>0</v>
      </c>
      <c r="G201" s="574">
        <v>0</v>
      </c>
      <c r="H201" s="574">
        <v>0</v>
      </c>
      <c r="I201" s="570">
        <v>0</v>
      </c>
      <c r="J201" s="570">
        <v>10852.695555555554</v>
      </c>
      <c r="K201" s="574">
        <v>40139.247777777782</v>
      </c>
      <c r="L201" s="574">
        <v>11645.612222222222</v>
      </c>
      <c r="M201" s="574">
        <v>1384.0111111111112</v>
      </c>
      <c r="N201" s="570">
        <v>64021.566666666666</v>
      </c>
      <c r="O201" s="570">
        <v>6714.8237444444449</v>
      </c>
      <c r="P201" s="574">
        <v>25459.720311111105</v>
      </c>
      <c r="Q201" s="574">
        <v>98.387222222222221</v>
      </c>
      <c r="R201" s="570">
        <v>32272.931277777774</v>
      </c>
      <c r="S201" s="570">
        <v>2870.4377777777777</v>
      </c>
      <c r="T201" s="615">
        <v>2870.4377777777777</v>
      </c>
      <c r="U201" s="570">
        <v>2873.3344444444447</v>
      </c>
      <c r="V201" s="615">
        <v>2873.3344444444447</v>
      </c>
      <c r="W201" s="570">
        <v>0</v>
      </c>
      <c r="X201" s="615">
        <v>0</v>
      </c>
      <c r="Y201" s="570">
        <v>5743.7722222222219</v>
      </c>
      <c r="Z201" s="624">
        <v>5743.7722222222219</v>
      </c>
    </row>
    <row r="202" spans="1:26" s="74" customFormat="1">
      <c r="A202" s="590" t="s">
        <v>514</v>
      </c>
      <c r="B202" s="591"/>
      <c r="C202" s="592">
        <v>0</v>
      </c>
      <c r="D202" s="593">
        <v>0</v>
      </c>
      <c r="E202" s="593">
        <v>0</v>
      </c>
      <c r="F202" s="593">
        <v>0</v>
      </c>
      <c r="G202" s="593">
        <v>0</v>
      </c>
      <c r="H202" s="593">
        <v>0</v>
      </c>
      <c r="I202" s="592">
        <v>0</v>
      </c>
      <c r="J202" s="592">
        <v>2.2975357496855739</v>
      </c>
      <c r="K202" s="593">
        <v>2.1982397277966279</v>
      </c>
      <c r="L202" s="593">
        <v>-3.7811589719203784</v>
      </c>
      <c r="M202" s="593">
        <v>-0.45234042213110681</v>
      </c>
      <c r="N202" s="592">
        <v>1.014841392014199</v>
      </c>
      <c r="O202" s="592">
        <v>-3.8052936265968591</v>
      </c>
      <c r="P202" s="593">
        <v>1.9794941515940314</v>
      </c>
      <c r="Q202" s="593">
        <v>-7.6195593206192829</v>
      </c>
      <c r="R202" s="592">
        <v>0.68777687002848209</v>
      </c>
      <c r="S202" s="592">
        <v>-1.9051347469041142</v>
      </c>
      <c r="T202" s="622">
        <v>-1.9051347469041142</v>
      </c>
      <c r="U202" s="592">
        <v>15.042847438384713</v>
      </c>
      <c r="V202" s="622">
        <v>15.042847438384713</v>
      </c>
      <c r="W202" s="592">
        <v>0</v>
      </c>
      <c r="X202" s="622">
        <v>0</v>
      </c>
      <c r="Y202" s="592">
        <v>5.8992802513036144</v>
      </c>
      <c r="Z202" s="631">
        <v>5.8992802513036144</v>
      </c>
    </row>
    <row r="203" spans="1:26">
      <c r="A203" s="570" t="s">
        <v>502</v>
      </c>
      <c r="B203" s="572"/>
      <c r="C203" s="570">
        <v>180694.60833333334</v>
      </c>
      <c r="D203" s="574">
        <v>52190.881944444438</v>
      </c>
      <c r="E203" s="574">
        <v>72283.479166666657</v>
      </c>
      <c r="F203" s="574">
        <v>25924.5</v>
      </c>
      <c r="G203" s="574">
        <v>10043.083333333334</v>
      </c>
      <c r="H203" s="574">
        <v>728.52083333333348</v>
      </c>
      <c r="I203" s="570">
        <v>341865.07361111115</v>
      </c>
      <c r="J203" s="570">
        <v>0</v>
      </c>
      <c r="K203" s="574">
        <v>0</v>
      </c>
      <c r="L203" s="574">
        <v>0</v>
      </c>
      <c r="M203" s="574">
        <v>0</v>
      </c>
      <c r="N203" s="570">
        <v>0</v>
      </c>
      <c r="O203" s="570">
        <v>0</v>
      </c>
      <c r="P203" s="574">
        <v>0</v>
      </c>
      <c r="Q203" s="574">
        <v>0</v>
      </c>
      <c r="R203" s="570">
        <v>0</v>
      </c>
      <c r="S203" s="570">
        <v>0</v>
      </c>
      <c r="T203" s="615">
        <v>0</v>
      </c>
      <c r="U203" s="570">
        <v>0</v>
      </c>
      <c r="V203" s="615">
        <v>0</v>
      </c>
      <c r="W203" s="570">
        <v>0</v>
      </c>
      <c r="X203" s="615">
        <v>0</v>
      </c>
      <c r="Y203" s="570">
        <v>0</v>
      </c>
      <c r="Z203" s="624">
        <v>0</v>
      </c>
    </row>
    <row r="204" spans="1:26" s="74" customFormat="1">
      <c r="A204" s="570" t="s">
        <v>504</v>
      </c>
      <c r="B204" s="572"/>
      <c r="C204" s="570">
        <v>185175.18333333335</v>
      </c>
      <c r="D204" s="574">
        <v>52738.708333333328</v>
      </c>
      <c r="E204" s="574">
        <v>76980.416666666672</v>
      </c>
      <c r="F204" s="574">
        <v>26922.4375</v>
      </c>
      <c r="G204" s="574">
        <v>11026.333333333332</v>
      </c>
      <c r="H204" s="574">
        <v>878.875</v>
      </c>
      <c r="I204" s="570">
        <v>353721.9541666666</v>
      </c>
      <c r="J204" s="570">
        <v>0</v>
      </c>
      <c r="K204" s="574">
        <v>0</v>
      </c>
      <c r="L204" s="574">
        <v>0</v>
      </c>
      <c r="M204" s="574">
        <v>0</v>
      </c>
      <c r="N204" s="570">
        <v>0</v>
      </c>
      <c r="O204" s="570">
        <v>0</v>
      </c>
      <c r="P204" s="574">
        <v>0</v>
      </c>
      <c r="Q204" s="574">
        <v>0</v>
      </c>
      <c r="R204" s="570">
        <v>0</v>
      </c>
      <c r="S204" s="570">
        <v>0</v>
      </c>
      <c r="T204" s="615">
        <v>0</v>
      </c>
      <c r="U204" s="570">
        <v>0</v>
      </c>
      <c r="V204" s="615">
        <v>0</v>
      </c>
      <c r="W204" s="570">
        <v>0</v>
      </c>
      <c r="X204" s="615">
        <v>0</v>
      </c>
      <c r="Y204" s="570">
        <v>0</v>
      </c>
      <c r="Z204" s="624">
        <v>0</v>
      </c>
    </row>
    <row r="205" spans="1:26" s="74" customFormat="1">
      <c r="A205" s="590" t="s">
        <v>506</v>
      </c>
      <c r="B205" s="591"/>
      <c r="C205" s="592">
        <v>2.4796395649694856</v>
      </c>
      <c r="D205" s="593">
        <v>1.0496591904157266</v>
      </c>
      <c r="E205" s="593">
        <v>6.4979405448512928</v>
      </c>
      <c r="F205" s="593">
        <v>3.8493992169569613</v>
      </c>
      <c r="G205" s="593">
        <v>9.7903200378369668</v>
      </c>
      <c r="H205" s="593">
        <v>20.638279619091186</v>
      </c>
      <c r="I205" s="592">
        <v>3.4682924553571857</v>
      </c>
      <c r="J205" s="592">
        <v>0</v>
      </c>
      <c r="K205" s="593">
        <v>0</v>
      </c>
      <c r="L205" s="593">
        <v>0</v>
      </c>
      <c r="M205" s="593">
        <v>0</v>
      </c>
      <c r="N205" s="592">
        <v>0</v>
      </c>
      <c r="O205" s="592">
        <v>0</v>
      </c>
      <c r="P205" s="593">
        <v>0</v>
      </c>
      <c r="Q205" s="593">
        <v>0</v>
      </c>
      <c r="R205" s="592">
        <v>0</v>
      </c>
      <c r="S205" s="592">
        <v>0</v>
      </c>
      <c r="T205" s="622">
        <v>0</v>
      </c>
      <c r="U205" s="592">
        <v>0</v>
      </c>
      <c r="V205" s="622">
        <v>0</v>
      </c>
      <c r="W205" s="592">
        <v>0</v>
      </c>
      <c r="X205" s="622">
        <v>0</v>
      </c>
      <c r="Y205" s="592">
        <v>0</v>
      </c>
      <c r="Z205" s="631">
        <v>0</v>
      </c>
    </row>
    <row r="206" spans="1:26">
      <c r="A206" s="570" t="s">
        <v>68</v>
      </c>
      <c r="B206" s="571"/>
      <c r="C206" s="570">
        <v>895659.98166666669</v>
      </c>
      <c r="D206" s="574">
        <v>267231.86527777772</v>
      </c>
      <c r="E206" s="574">
        <v>572100.9458333333</v>
      </c>
      <c r="F206" s="574">
        <v>220329.23333333334</v>
      </c>
      <c r="G206" s="574">
        <v>111659.18333333335</v>
      </c>
      <c r="H206" s="574">
        <v>63642.95749999999</v>
      </c>
      <c r="I206" s="570">
        <v>2130624.1669444442</v>
      </c>
      <c r="J206" s="570">
        <v>87612.651111111132</v>
      </c>
      <c r="K206" s="574">
        <v>830113.81666666653</v>
      </c>
      <c r="L206" s="574">
        <v>500765.57955555548</v>
      </c>
      <c r="M206" s="574">
        <v>140251.85433333332</v>
      </c>
      <c r="N206" s="570">
        <v>1558743.9016666666</v>
      </c>
      <c r="O206" s="570">
        <v>77162.968155555543</v>
      </c>
      <c r="P206" s="574">
        <v>31904.988011111109</v>
      </c>
      <c r="Q206" s="574">
        <v>13100.702222222222</v>
      </c>
      <c r="R206" s="570">
        <v>122168.65838888887</v>
      </c>
      <c r="S206" s="570">
        <v>62873.152222222227</v>
      </c>
      <c r="T206" s="615">
        <v>62873.152222222227</v>
      </c>
      <c r="U206" s="570">
        <v>15209.454444444445</v>
      </c>
      <c r="V206" s="615">
        <v>15209.454444444445</v>
      </c>
      <c r="W206" s="570">
        <v>1030.9666666666667</v>
      </c>
      <c r="X206" s="615">
        <v>1030.9666666666667</v>
      </c>
      <c r="Y206" s="570">
        <v>170884.58000000002</v>
      </c>
      <c r="Z206" s="624">
        <v>170884.58000000002</v>
      </c>
    </row>
    <row r="207" spans="1:26" s="74" customFormat="1">
      <c r="A207" s="570" t="s">
        <v>508</v>
      </c>
      <c r="B207" s="572"/>
      <c r="C207" s="570">
        <v>913767.99333333329</v>
      </c>
      <c r="D207" s="574">
        <v>270156.35277777776</v>
      </c>
      <c r="E207" s="574">
        <v>579402.1</v>
      </c>
      <c r="F207" s="574">
        <v>226759.5008333333</v>
      </c>
      <c r="G207" s="574">
        <v>114537.18333333333</v>
      </c>
      <c r="H207" s="574">
        <v>64789.396666666675</v>
      </c>
      <c r="I207" s="570">
        <v>2169412.5269444445</v>
      </c>
      <c r="J207" s="570">
        <v>92390.395555555573</v>
      </c>
      <c r="K207" s="574">
        <v>878775.28044444439</v>
      </c>
      <c r="L207" s="574">
        <v>520534.89055555552</v>
      </c>
      <c r="M207" s="574">
        <v>147225.64411111112</v>
      </c>
      <c r="N207" s="570">
        <v>1638926.2106666665</v>
      </c>
      <c r="O207" s="570">
        <v>80427.148188888881</v>
      </c>
      <c r="P207" s="574">
        <v>32588.614755555551</v>
      </c>
      <c r="Q207" s="574">
        <v>14183.737222222222</v>
      </c>
      <c r="R207" s="570">
        <v>127199.50016666666</v>
      </c>
      <c r="S207" s="570">
        <v>63929.571111111116</v>
      </c>
      <c r="T207" s="615">
        <v>63929.571111111116</v>
      </c>
      <c r="U207" s="570">
        <v>16049.134444444444</v>
      </c>
      <c r="V207" s="615">
        <v>16049.134444444444</v>
      </c>
      <c r="W207" s="570">
        <v>1319.0333333333333</v>
      </c>
      <c r="X207" s="615">
        <v>1319.0333333333333</v>
      </c>
      <c r="Y207" s="570">
        <v>177494.33888888892</v>
      </c>
      <c r="Z207" s="624">
        <v>177494.33888888892</v>
      </c>
    </row>
    <row r="208" spans="1:26">
      <c r="A208" s="594" t="s">
        <v>510</v>
      </c>
      <c r="B208" s="595"/>
      <c r="C208" s="594">
        <v>2.0217506684814293</v>
      </c>
      <c r="D208" s="596">
        <v>1.094363315153337</v>
      </c>
      <c r="E208" s="596">
        <v>1.2762003313998702</v>
      </c>
      <c r="F208" s="596">
        <v>2.9184813121333106</v>
      </c>
      <c r="G208" s="596">
        <v>2.5774861628786763</v>
      </c>
      <c r="H208" s="596">
        <v>1.8013606087785567</v>
      </c>
      <c r="I208" s="594">
        <v>1.8205162882211314</v>
      </c>
      <c r="J208" s="594">
        <v>5.453258614883441</v>
      </c>
      <c r="K208" s="596">
        <v>5.8620231106595266</v>
      </c>
      <c r="L208" s="596">
        <v>3.9478174633219809</v>
      </c>
      <c r="M208" s="596">
        <v>4.9723333861977936</v>
      </c>
      <c r="N208" s="594">
        <v>5.1440335332998588</v>
      </c>
      <c r="O208" s="594">
        <v>4.2302416707882173</v>
      </c>
      <c r="P208" s="596">
        <v>2.1426955064404725</v>
      </c>
      <c r="Q208" s="596">
        <v>8.2669995976466719</v>
      </c>
      <c r="R208" s="594">
        <v>4.1179479615496417</v>
      </c>
      <c r="S208" s="594">
        <v>1.6802384667385946</v>
      </c>
      <c r="T208" s="623">
        <v>1.6802384667385946</v>
      </c>
      <c r="U208" s="594">
        <v>5.5207765871359591</v>
      </c>
      <c r="V208" s="623">
        <v>5.5207765871359591</v>
      </c>
      <c r="W208" s="594">
        <v>27.94141420673154</v>
      </c>
      <c r="X208" s="623">
        <v>27.94141420673154</v>
      </c>
      <c r="Y208" s="594">
        <v>3.867966839892107</v>
      </c>
      <c r="Z208" s="632">
        <v>3.867966839892107</v>
      </c>
    </row>
  </sheetData>
  <phoneticPr fontId="0" type="noConversion"/>
  <pageMargins left="0.5" right="0.5" top="1" bottom="1" header="0.5" footer="0.5"/>
  <pageSetup scale="95" pageOrder="overThenDown" orientation="landscape" r:id="rId2"/>
  <headerFooter alignWithMargins="0">
    <oddHeader>&amp;L&amp;"Arial,Bold"&amp;10SREB-State Data Exchange&amp;C&amp;"Arial,Bold"&amp;10Preliminary Tables&amp;R&amp;"Arial,Bold"&amp;10Part 4: FTE Enrollment</oddHeader>
    <oddFooter>&amp;L&amp;"Arial,Bold"&amp;10For Agency Review Only&amp;R&amp;"Arial,Bold"&amp;10October 2009</oddFooter>
  </headerFooter>
  <rowBreaks count="15" manualBreakCount="15">
    <brk id="16" max="16383" man="1"/>
    <brk id="28" max="16383" man="1"/>
    <brk id="40" max="16383" man="1"/>
    <brk id="52" max="16383" man="1"/>
    <brk id="64" max="16383" man="1"/>
    <brk id="76" max="16383" man="1"/>
    <brk id="88" max="16383" man="1"/>
    <brk id="100" max="16383" man="1"/>
    <brk id="112" max="16383" man="1"/>
    <brk id="124" max="16383" man="1"/>
    <brk id="136" max="16383" man="1"/>
    <brk id="148" max="16383" man="1"/>
    <brk id="160" max="16383" man="1"/>
    <brk id="172" max="16383" man="1"/>
    <brk id="1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dimension ref="A1:C23"/>
  <sheetViews>
    <sheetView zoomScale="120" zoomScaleNormal="120" workbookViewId="0">
      <selection activeCell="C13" sqref="C13"/>
    </sheetView>
  </sheetViews>
  <sheetFormatPr defaultRowHeight="11.25"/>
  <cols>
    <col min="1" max="1" width="17.1640625" bestFit="1" customWidth="1"/>
    <col min="2" max="2" width="22.1640625" bestFit="1" customWidth="1"/>
    <col min="3" max="3" width="102.5" bestFit="1" customWidth="1"/>
  </cols>
  <sheetData>
    <row r="1" spans="1:3">
      <c r="A1" s="653" t="s">
        <v>953</v>
      </c>
    </row>
    <row r="2" spans="1:3">
      <c r="A2" s="654" t="s">
        <v>954</v>
      </c>
      <c r="B2" s="654" t="s">
        <v>955</v>
      </c>
      <c r="C2" s="654" t="s">
        <v>956</v>
      </c>
    </row>
    <row r="3" spans="1:3">
      <c r="A3">
        <v>1</v>
      </c>
      <c r="B3" t="s">
        <v>959</v>
      </c>
      <c r="C3" t="s">
        <v>960</v>
      </c>
    </row>
    <row r="4" spans="1:3">
      <c r="A4">
        <v>2</v>
      </c>
      <c r="B4" t="s">
        <v>961</v>
      </c>
      <c r="C4" t="s">
        <v>962</v>
      </c>
    </row>
    <row r="5" spans="1:3">
      <c r="A5">
        <v>3</v>
      </c>
      <c r="B5" t="s">
        <v>963</v>
      </c>
      <c r="C5" t="s">
        <v>964</v>
      </c>
    </row>
    <row r="6" spans="1:3">
      <c r="A6">
        <v>4</v>
      </c>
      <c r="B6" t="s">
        <v>965</v>
      </c>
      <c r="C6" t="s">
        <v>966</v>
      </c>
    </row>
    <row r="7" spans="1:3">
      <c r="A7">
        <v>5</v>
      </c>
      <c r="B7" t="s">
        <v>967</v>
      </c>
      <c r="C7" t="s">
        <v>968</v>
      </c>
    </row>
    <row r="8" spans="1:3">
      <c r="A8">
        <v>6</v>
      </c>
      <c r="B8" t="s">
        <v>969</v>
      </c>
      <c r="C8" t="s">
        <v>970</v>
      </c>
    </row>
    <row r="9" spans="1:3">
      <c r="A9">
        <v>7</v>
      </c>
      <c r="B9" t="s">
        <v>971</v>
      </c>
      <c r="C9" t="s">
        <v>972</v>
      </c>
    </row>
    <row r="10" spans="1:3">
      <c r="A10">
        <v>8</v>
      </c>
      <c r="B10" t="s">
        <v>973</v>
      </c>
      <c r="C10" t="s">
        <v>974</v>
      </c>
    </row>
    <row r="11" spans="1:3">
      <c r="A11">
        <v>9</v>
      </c>
      <c r="B11" t="s">
        <v>975</v>
      </c>
      <c r="C11" t="s">
        <v>976</v>
      </c>
    </row>
    <row r="12" spans="1:3">
      <c r="A12">
        <v>10</v>
      </c>
      <c r="B12" t="s">
        <v>977</v>
      </c>
      <c r="C12" t="s">
        <v>978</v>
      </c>
    </row>
    <row r="13" spans="1:3">
      <c r="A13">
        <v>11</v>
      </c>
      <c r="B13" t="s">
        <v>979</v>
      </c>
      <c r="C13" t="s">
        <v>980</v>
      </c>
    </row>
    <row r="15" spans="1:3">
      <c r="A15" s="653" t="s">
        <v>957</v>
      </c>
    </row>
    <row r="16" spans="1:3">
      <c r="A16" s="654" t="s">
        <v>954</v>
      </c>
      <c r="B16" s="654" t="s">
        <v>958</v>
      </c>
      <c r="C16" s="654" t="s">
        <v>956</v>
      </c>
    </row>
    <row r="19" spans="1:2">
      <c r="A19" s="653" t="s">
        <v>981</v>
      </c>
      <c r="B19" t="s">
        <v>982</v>
      </c>
    </row>
    <row r="20" spans="1:2">
      <c r="B20" t="s">
        <v>983</v>
      </c>
    </row>
    <row r="22" spans="1:2">
      <c r="B22" t="s">
        <v>984</v>
      </c>
    </row>
    <row r="23" spans="1:2">
      <c r="B23" t="s">
        <v>985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24"/>
  <sheetViews>
    <sheetView zoomScale="120" zoomScaleNormal="120" workbookViewId="0">
      <selection activeCell="C14" sqref="C14"/>
    </sheetView>
  </sheetViews>
  <sheetFormatPr defaultRowHeight="11.25"/>
  <cols>
    <col min="1" max="1" width="17.1640625" bestFit="1" customWidth="1"/>
    <col min="2" max="2" width="22.1640625" bestFit="1" customWidth="1"/>
    <col min="3" max="3" width="102.5" bestFit="1" customWidth="1"/>
  </cols>
  <sheetData>
    <row r="1" spans="1:3">
      <c r="A1" s="653" t="s">
        <v>953</v>
      </c>
    </row>
    <row r="2" spans="1:3">
      <c r="A2" s="654" t="s">
        <v>954</v>
      </c>
      <c r="B2" s="654" t="s">
        <v>955</v>
      </c>
      <c r="C2" s="654" t="s">
        <v>956</v>
      </c>
    </row>
    <row r="3" spans="1:3">
      <c r="A3">
        <v>1</v>
      </c>
      <c r="B3" t="s">
        <v>959</v>
      </c>
      <c r="C3" t="s">
        <v>960</v>
      </c>
    </row>
    <row r="4" spans="1:3">
      <c r="A4">
        <v>2</v>
      </c>
      <c r="B4" t="s">
        <v>961</v>
      </c>
      <c r="C4" t="s">
        <v>962</v>
      </c>
    </row>
    <row r="5" spans="1:3">
      <c r="A5">
        <v>3</v>
      </c>
      <c r="B5" t="s">
        <v>963</v>
      </c>
      <c r="C5" t="s">
        <v>964</v>
      </c>
    </row>
    <row r="6" spans="1:3">
      <c r="A6">
        <v>4</v>
      </c>
      <c r="B6" t="s">
        <v>965</v>
      </c>
      <c r="C6" t="s">
        <v>966</v>
      </c>
    </row>
    <row r="7" spans="1:3">
      <c r="A7">
        <v>5</v>
      </c>
      <c r="B7" t="s">
        <v>967</v>
      </c>
      <c r="C7" t="s">
        <v>968</v>
      </c>
    </row>
    <row r="8" spans="1:3">
      <c r="A8">
        <v>6</v>
      </c>
      <c r="B8" t="s">
        <v>969</v>
      </c>
      <c r="C8" t="s">
        <v>970</v>
      </c>
    </row>
    <row r="9" spans="1:3">
      <c r="A9">
        <v>7</v>
      </c>
      <c r="B9" t="s">
        <v>971</v>
      </c>
      <c r="C9" t="s">
        <v>972</v>
      </c>
    </row>
    <row r="10" spans="1:3">
      <c r="A10">
        <v>8</v>
      </c>
      <c r="B10" t="s">
        <v>973</v>
      </c>
      <c r="C10" t="s">
        <v>974</v>
      </c>
    </row>
    <row r="11" spans="1:3">
      <c r="A11">
        <v>9</v>
      </c>
      <c r="B11" t="s">
        <v>975</v>
      </c>
      <c r="C11" t="s">
        <v>976</v>
      </c>
    </row>
    <row r="12" spans="1:3">
      <c r="A12">
        <v>10</v>
      </c>
      <c r="B12" t="s">
        <v>977</v>
      </c>
      <c r="C12" t="s">
        <v>978</v>
      </c>
    </row>
    <row r="13" spans="1:3">
      <c r="A13">
        <v>11</v>
      </c>
      <c r="B13" t="s">
        <v>979</v>
      </c>
      <c r="C13" t="s">
        <v>980</v>
      </c>
    </row>
    <row r="14" spans="1:3">
      <c r="A14">
        <v>12</v>
      </c>
      <c r="B14" t="s">
        <v>986</v>
      </c>
      <c r="C14" t="s">
        <v>987</v>
      </c>
    </row>
    <row r="16" spans="1:3">
      <c r="A16" s="653" t="s">
        <v>957</v>
      </c>
    </row>
    <row r="17" spans="1:3">
      <c r="A17" s="654" t="s">
        <v>954</v>
      </c>
      <c r="B17" s="654" t="s">
        <v>958</v>
      </c>
      <c r="C17" s="654" t="s">
        <v>956</v>
      </c>
    </row>
    <row r="20" spans="1:3">
      <c r="A20" s="653" t="s">
        <v>981</v>
      </c>
      <c r="B20" t="s">
        <v>982</v>
      </c>
    </row>
    <row r="21" spans="1:3">
      <c r="B21" t="s">
        <v>983</v>
      </c>
    </row>
    <row r="23" spans="1:3">
      <c r="B23" t="s">
        <v>984</v>
      </c>
    </row>
    <row r="24" spans="1:3">
      <c r="B24" t="s">
        <v>985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339933"/>
  </sheetPr>
  <dimension ref="A1:AN141"/>
  <sheetViews>
    <sheetView zoomScale="80" zoomScaleNormal="80" workbookViewId="0">
      <pane xSplit="2" ySplit="5" topLeftCell="V102" activePane="bottomRight" state="frozen"/>
      <selection pane="topRight" activeCell="C1" sqref="C1"/>
      <selection pane="bottomLeft" activeCell="A6" sqref="A6"/>
      <selection pane="bottomRight" activeCell="AB137" sqref="AB137"/>
    </sheetView>
  </sheetViews>
  <sheetFormatPr defaultRowHeight="12.75"/>
  <cols>
    <col min="1" max="1" width="5" style="438" customWidth="1"/>
    <col min="2" max="2" width="29.33203125" style="438" customWidth="1"/>
    <col min="3" max="8" width="14.1640625" style="438" customWidth="1"/>
    <col min="9" max="9" width="16.1640625" style="438" customWidth="1"/>
    <col min="10" max="13" width="12.33203125" style="438" customWidth="1"/>
    <col min="14" max="14" width="15.6640625" style="438" customWidth="1"/>
    <col min="15" max="17" width="12.5" style="438" customWidth="1"/>
    <col min="18" max="18" width="15.83203125" style="438" customWidth="1"/>
    <col min="19" max="20" width="12.33203125" style="438" customWidth="1"/>
    <col min="21" max="21" width="9.33203125" style="438"/>
    <col min="22" max="22" width="31.6640625" style="438" customWidth="1"/>
    <col min="23" max="23" width="10.33203125" style="438" bestFit="1" customWidth="1"/>
    <col min="24" max="29" width="9.33203125" style="438"/>
    <col min="30" max="30" width="9.33203125" style="510"/>
    <col min="31" max="16384" width="9.33203125" style="438"/>
  </cols>
  <sheetData>
    <row r="1" spans="1:40">
      <c r="E1" s="645" t="s">
        <v>949</v>
      </c>
      <c r="L1" s="647"/>
      <c r="M1" s="1"/>
    </row>
    <row r="3" spans="1:40" s="1" customFormat="1">
      <c r="A3" s="437"/>
      <c r="B3" s="443"/>
      <c r="C3" s="444" t="s">
        <v>443</v>
      </c>
      <c r="D3" s="445" t="s">
        <v>518</v>
      </c>
      <c r="E3" s="443"/>
      <c r="F3" s="443"/>
      <c r="G3" s="443"/>
      <c r="H3" s="443"/>
      <c r="I3" s="443"/>
      <c r="J3" s="443"/>
      <c r="K3" s="443"/>
      <c r="L3" s="443"/>
      <c r="M3" s="443"/>
      <c r="N3" s="443"/>
      <c r="O3" s="443"/>
      <c r="P3" s="443"/>
      <c r="Q3" s="443"/>
      <c r="R3" s="443"/>
      <c r="S3" s="443"/>
      <c r="T3" s="446"/>
      <c r="AD3" s="4"/>
    </row>
    <row r="4" spans="1:40" s="1" customFormat="1">
      <c r="A4" s="447"/>
      <c r="B4" s="448"/>
      <c r="C4" s="437" t="s">
        <v>474</v>
      </c>
      <c r="D4" s="443"/>
      <c r="E4" s="443"/>
      <c r="F4" s="443"/>
      <c r="G4" s="443"/>
      <c r="H4" s="443"/>
      <c r="I4" s="437" t="s">
        <v>95</v>
      </c>
      <c r="J4" s="437" t="s">
        <v>492</v>
      </c>
      <c r="K4" s="443"/>
      <c r="L4" s="443"/>
      <c r="M4" s="443"/>
      <c r="N4" s="437" t="s">
        <v>96</v>
      </c>
      <c r="O4" s="437" t="s">
        <v>415</v>
      </c>
      <c r="P4" s="443"/>
      <c r="Q4" s="443"/>
      <c r="R4" s="437" t="s">
        <v>97</v>
      </c>
      <c r="S4" s="437">
        <v>15</v>
      </c>
      <c r="T4" s="449" t="s">
        <v>98</v>
      </c>
      <c r="W4" s="655" t="s">
        <v>474</v>
      </c>
      <c r="X4" s="656"/>
      <c r="Y4" s="656"/>
      <c r="Z4" s="656"/>
      <c r="AA4" s="656"/>
      <c r="AB4" s="656"/>
      <c r="AC4" s="655" t="s">
        <v>95</v>
      </c>
      <c r="AD4" s="668" t="s">
        <v>492</v>
      </c>
      <c r="AE4" s="656"/>
      <c r="AF4" s="656"/>
      <c r="AG4" s="656"/>
      <c r="AH4" s="655" t="s">
        <v>96</v>
      </c>
      <c r="AI4" s="655" t="s">
        <v>415</v>
      </c>
      <c r="AJ4" s="656"/>
      <c r="AK4" s="656"/>
      <c r="AL4" s="655" t="s">
        <v>97</v>
      </c>
      <c r="AM4" s="655">
        <v>15</v>
      </c>
      <c r="AN4" s="657" t="s">
        <v>98</v>
      </c>
    </row>
    <row r="5" spans="1:40" s="1" customFormat="1">
      <c r="A5" s="444" t="s">
        <v>519</v>
      </c>
      <c r="B5" s="444" t="s">
        <v>466</v>
      </c>
      <c r="C5" s="437">
        <v>1</v>
      </c>
      <c r="D5" s="450">
        <v>2</v>
      </c>
      <c r="E5" s="450">
        <v>3</v>
      </c>
      <c r="F5" s="450">
        <v>4</v>
      </c>
      <c r="G5" s="450">
        <v>5</v>
      </c>
      <c r="H5" s="450">
        <v>6</v>
      </c>
      <c r="I5" s="447"/>
      <c r="J5" s="437">
        <v>7</v>
      </c>
      <c r="K5" s="450">
        <v>8</v>
      </c>
      <c r="L5" s="450">
        <v>9</v>
      </c>
      <c r="M5" s="450">
        <v>10</v>
      </c>
      <c r="N5" s="447"/>
      <c r="O5" s="437">
        <v>12</v>
      </c>
      <c r="P5" s="450">
        <v>13</v>
      </c>
      <c r="Q5" s="450">
        <v>14</v>
      </c>
      <c r="R5" s="447"/>
      <c r="S5" s="437">
        <v>15</v>
      </c>
      <c r="T5" s="451"/>
      <c r="W5" s="655">
        <v>1</v>
      </c>
      <c r="X5" s="658">
        <v>2</v>
      </c>
      <c r="Y5" s="658">
        <v>3</v>
      </c>
      <c r="Z5" s="658">
        <v>4</v>
      </c>
      <c r="AA5" s="658">
        <v>5</v>
      </c>
      <c r="AB5" s="658">
        <v>6</v>
      </c>
      <c r="AC5" s="659"/>
      <c r="AD5" s="668">
        <v>7</v>
      </c>
      <c r="AE5" s="658">
        <v>8</v>
      </c>
      <c r="AF5" s="658">
        <v>9</v>
      </c>
      <c r="AG5" s="658">
        <v>10</v>
      </c>
      <c r="AH5" s="659"/>
      <c r="AI5" s="655">
        <v>12</v>
      </c>
      <c r="AJ5" s="658">
        <v>13</v>
      </c>
      <c r="AK5" s="658">
        <v>14</v>
      </c>
      <c r="AL5" s="659"/>
      <c r="AM5" s="655">
        <v>15</v>
      </c>
      <c r="AN5" s="660"/>
    </row>
    <row r="6" spans="1:40">
      <c r="A6" s="452" t="s">
        <v>109</v>
      </c>
      <c r="B6" s="437" t="s">
        <v>77</v>
      </c>
      <c r="C6" s="441">
        <v>0</v>
      </c>
      <c r="D6" s="442">
        <v>0</v>
      </c>
      <c r="E6" s="442">
        <v>0</v>
      </c>
      <c r="F6" s="442">
        <v>0</v>
      </c>
      <c r="G6" s="442">
        <v>0</v>
      </c>
      <c r="H6" s="442">
        <v>0</v>
      </c>
      <c r="I6" s="441">
        <v>0</v>
      </c>
      <c r="J6" s="441">
        <v>0</v>
      </c>
      <c r="K6" s="442">
        <v>0</v>
      </c>
      <c r="L6" s="442">
        <v>0</v>
      </c>
      <c r="M6" s="442">
        <v>0</v>
      </c>
      <c r="N6" s="441">
        <v>0</v>
      </c>
      <c r="O6" s="441">
        <v>0</v>
      </c>
      <c r="P6" s="442">
        <v>0</v>
      </c>
      <c r="Q6" s="442">
        <v>0</v>
      </c>
      <c r="R6" s="441">
        <v>0</v>
      </c>
      <c r="S6" s="441">
        <v>0</v>
      </c>
      <c r="T6" s="455">
        <v>0</v>
      </c>
    </row>
    <row r="7" spans="1:40" s="1" customFormat="1">
      <c r="A7" s="440"/>
      <c r="B7" s="32" t="s">
        <v>81</v>
      </c>
      <c r="C7" s="439">
        <v>0</v>
      </c>
      <c r="D7" s="2">
        <v>0</v>
      </c>
      <c r="E7" s="2">
        <v>0</v>
      </c>
      <c r="F7" s="2">
        <v>0</v>
      </c>
      <c r="G7" s="2">
        <v>0</v>
      </c>
      <c r="H7" s="2">
        <v>0</v>
      </c>
      <c r="I7" s="439">
        <v>0</v>
      </c>
      <c r="J7" s="439">
        <v>0</v>
      </c>
      <c r="K7" s="2">
        <v>0</v>
      </c>
      <c r="L7" s="2">
        <v>0</v>
      </c>
      <c r="M7" s="2">
        <v>0</v>
      </c>
      <c r="N7" s="439">
        <v>0</v>
      </c>
      <c r="O7" s="439">
        <v>0</v>
      </c>
      <c r="P7" s="2">
        <v>0</v>
      </c>
      <c r="Q7" s="2">
        <v>0</v>
      </c>
      <c r="R7" s="439">
        <v>0</v>
      </c>
      <c r="S7" s="439">
        <v>0</v>
      </c>
      <c r="T7" s="453">
        <v>0</v>
      </c>
      <c r="AD7" s="4"/>
    </row>
    <row r="8" spans="1:40">
      <c r="A8" s="440"/>
      <c r="B8" s="515" t="s">
        <v>83</v>
      </c>
      <c r="C8" s="515">
        <v>0</v>
      </c>
      <c r="D8" s="516">
        <v>0</v>
      </c>
      <c r="E8" s="516">
        <v>0</v>
      </c>
      <c r="F8" s="516">
        <v>0</v>
      </c>
      <c r="G8" s="516">
        <v>0</v>
      </c>
      <c r="H8" s="516">
        <v>0</v>
      </c>
      <c r="I8" s="515">
        <v>0</v>
      </c>
      <c r="J8" s="515">
        <v>0</v>
      </c>
      <c r="K8" s="516">
        <v>0</v>
      </c>
      <c r="L8" s="516">
        <v>0</v>
      </c>
      <c r="M8" s="516">
        <v>0</v>
      </c>
      <c r="N8" s="515">
        <v>0</v>
      </c>
      <c r="O8" s="515">
        <v>0</v>
      </c>
      <c r="P8" s="516">
        <v>0</v>
      </c>
      <c r="Q8" s="516">
        <v>0</v>
      </c>
      <c r="R8" s="515">
        <v>0</v>
      </c>
      <c r="S8" s="515">
        <v>0</v>
      </c>
      <c r="T8" s="517">
        <v>0</v>
      </c>
      <c r="W8" s="661" t="str">
        <f t="shared" ref="W8:AN8" si="0">IF(C8&gt;0,C8,"—")</f>
        <v>—</v>
      </c>
      <c r="X8" s="661" t="str">
        <f t="shared" si="0"/>
        <v>—</v>
      </c>
      <c r="Y8" s="661" t="str">
        <f t="shared" si="0"/>
        <v>—</v>
      </c>
      <c r="Z8" s="661" t="str">
        <f t="shared" si="0"/>
        <v>—</v>
      </c>
      <c r="AA8" s="661" t="str">
        <f t="shared" si="0"/>
        <v>—</v>
      </c>
      <c r="AB8" s="661" t="str">
        <f t="shared" si="0"/>
        <v>—</v>
      </c>
      <c r="AC8" s="661" t="str">
        <f t="shared" si="0"/>
        <v>—</v>
      </c>
      <c r="AD8" s="669" t="str">
        <f t="shared" si="0"/>
        <v>—</v>
      </c>
      <c r="AE8" s="661" t="str">
        <f t="shared" si="0"/>
        <v>—</v>
      </c>
      <c r="AF8" s="661" t="str">
        <f t="shared" si="0"/>
        <v>—</v>
      </c>
      <c r="AG8" s="661" t="str">
        <f t="shared" si="0"/>
        <v>—</v>
      </c>
      <c r="AH8" s="661" t="str">
        <f t="shared" si="0"/>
        <v>—</v>
      </c>
      <c r="AI8" s="661" t="str">
        <f t="shared" si="0"/>
        <v>—</v>
      </c>
      <c r="AJ8" s="661" t="str">
        <f t="shared" si="0"/>
        <v>—</v>
      </c>
      <c r="AK8" s="661" t="str">
        <f t="shared" si="0"/>
        <v>—</v>
      </c>
      <c r="AL8" s="661" t="str">
        <f t="shared" si="0"/>
        <v>—</v>
      </c>
      <c r="AM8" s="661" t="str">
        <f t="shared" si="0"/>
        <v>—</v>
      </c>
      <c r="AN8" s="661" t="str">
        <f t="shared" si="0"/>
        <v>—</v>
      </c>
    </row>
    <row r="9" spans="1:40" s="1" customFormat="1">
      <c r="A9" s="440"/>
      <c r="B9" s="32" t="s">
        <v>78</v>
      </c>
      <c r="C9" s="439">
        <v>0</v>
      </c>
      <c r="D9" s="2">
        <v>0</v>
      </c>
      <c r="E9" s="2">
        <v>0</v>
      </c>
      <c r="F9" s="2">
        <v>0</v>
      </c>
      <c r="G9" s="2">
        <v>0</v>
      </c>
      <c r="H9" s="2">
        <v>0</v>
      </c>
      <c r="I9" s="439">
        <v>0</v>
      </c>
      <c r="J9" s="439">
        <v>0</v>
      </c>
      <c r="K9" s="2">
        <v>0</v>
      </c>
      <c r="L9" s="2">
        <v>0</v>
      </c>
      <c r="M9" s="2">
        <v>0</v>
      </c>
      <c r="N9" s="439">
        <v>0</v>
      </c>
      <c r="O9" s="439">
        <v>0</v>
      </c>
      <c r="P9" s="2">
        <v>0</v>
      </c>
      <c r="Q9" s="2">
        <v>0</v>
      </c>
      <c r="R9" s="439">
        <v>0</v>
      </c>
      <c r="S9" s="439">
        <v>0</v>
      </c>
      <c r="T9" s="453">
        <v>0</v>
      </c>
      <c r="V9" s="645"/>
      <c r="W9" s="120"/>
      <c r="X9" s="120"/>
      <c r="Y9" s="120"/>
      <c r="Z9" s="120"/>
      <c r="AA9" s="120"/>
      <c r="AB9" s="120"/>
      <c r="AC9" s="120"/>
      <c r="AD9" s="670"/>
      <c r="AE9" s="120"/>
      <c r="AF9" s="120"/>
      <c r="AG9" s="120"/>
      <c r="AH9" s="120"/>
      <c r="AI9" s="120"/>
      <c r="AJ9" s="120"/>
      <c r="AK9" s="120"/>
      <c r="AL9" s="120"/>
      <c r="AM9" s="120"/>
      <c r="AN9" s="120"/>
    </row>
    <row r="10" spans="1:40">
      <c r="A10" s="440"/>
      <c r="B10" s="32" t="s">
        <v>82</v>
      </c>
      <c r="C10" s="439">
        <v>0</v>
      </c>
      <c r="D10" s="2">
        <v>0</v>
      </c>
      <c r="E10" s="2">
        <v>0</v>
      </c>
      <c r="F10" s="2">
        <v>0</v>
      </c>
      <c r="G10" s="2">
        <v>0</v>
      </c>
      <c r="H10" s="2">
        <v>0</v>
      </c>
      <c r="I10" s="439">
        <v>0</v>
      </c>
      <c r="J10" s="439">
        <v>0</v>
      </c>
      <c r="K10" s="2">
        <v>0</v>
      </c>
      <c r="L10" s="2">
        <v>0</v>
      </c>
      <c r="M10" s="2">
        <v>0</v>
      </c>
      <c r="N10" s="439">
        <v>0</v>
      </c>
      <c r="O10" s="439">
        <v>0</v>
      </c>
      <c r="P10" s="2">
        <v>0</v>
      </c>
      <c r="Q10" s="2">
        <v>0</v>
      </c>
      <c r="R10" s="439">
        <v>0</v>
      </c>
      <c r="S10" s="439">
        <v>0</v>
      </c>
      <c r="T10" s="453">
        <v>0</v>
      </c>
      <c r="W10" s="662"/>
      <c r="X10" s="662"/>
      <c r="Y10" s="662"/>
      <c r="Z10" s="662"/>
      <c r="AA10" s="662"/>
      <c r="AB10" s="662"/>
      <c r="AC10" s="662"/>
      <c r="AD10" s="671"/>
      <c r="AE10" s="662"/>
      <c r="AF10" s="662"/>
      <c r="AG10" s="662"/>
      <c r="AH10" s="662"/>
      <c r="AI10" s="662"/>
      <c r="AJ10" s="662"/>
      <c r="AK10" s="662"/>
      <c r="AL10" s="662"/>
      <c r="AM10" s="662"/>
      <c r="AN10" s="662"/>
    </row>
    <row r="11" spans="1:40" s="1" customFormat="1">
      <c r="A11" s="440"/>
      <c r="B11" s="531" t="s">
        <v>88</v>
      </c>
      <c r="C11" s="531">
        <v>0</v>
      </c>
      <c r="D11" s="532">
        <v>0</v>
      </c>
      <c r="E11" s="532">
        <v>0</v>
      </c>
      <c r="F11" s="532">
        <v>0</v>
      </c>
      <c r="G11" s="532">
        <v>0</v>
      </c>
      <c r="H11" s="532">
        <v>0</v>
      </c>
      <c r="I11" s="531">
        <v>0</v>
      </c>
      <c r="J11" s="531">
        <v>0</v>
      </c>
      <c r="K11" s="532">
        <v>0</v>
      </c>
      <c r="L11" s="532">
        <v>0</v>
      </c>
      <c r="M11" s="532">
        <v>0</v>
      </c>
      <c r="N11" s="531">
        <v>0</v>
      </c>
      <c r="O11" s="531">
        <v>0</v>
      </c>
      <c r="P11" s="532">
        <v>0</v>
      </c>
      <c r="Q11" s="532">
        <v>0</v>
      </c>
      <c r="R11" s="531">
        <v>0</v>
      </c>
      <c r="S11" s="531">
        <v>0</v>
      </c>
      <c r="T11" s="533">
        <v>0</v>
      </c>
      <c r="W11" s="661" t="str">
        <f t="shared" ref="W11:AN11" si="1">IF(C11&gt;0,C11,"—")</f>
        <v>—</v>
      </c>
      <c r="X11" s="661" t="str">
        <f t="shared" si="1"/>
        <v>—</v>
      </c>
      <c r="Y11" s="661" t="str">
        <f t="shared" si="1"/>
        <v>—</v>
      </c>
      <c r="Z11" s="661" t="str">
        <f t="shared" si="1"/>
        <v>—</v>
      </c>
      <c r="AA11" s="661" t="str">
        <f t="shared" si="1"/>
        <v>—</v>
      </c>
      <c r="AB11" s="661" t="str">
        <f t="shared" si="1"/>
        <v>—</v>
      </c>
      <c r="AC11" s="661" t="str">
        <f t="shared" si="1"/>
        <v>—</v>
      </c>
      <c r="AD11" s="669" t="str">
        <f t="shared" si="1"/>
        <v>—</v>
      </c>
      <c r="AE11" s="661" t="str">
        <f t="shared" si="1"/>
        <v>—</v>
      </c>
      <c r="AF11" s="661" t="str">
        <f t="shared" si="1"/>
        <v>—</v>
      </c>
      <c r="AG11" s="661" t="str">
        <f t="shared" si="1"/>
        <v>—</v>
      </c>
      <c r="AH11" s="661" t="str">
        <f t="shared" si="1"/>
        <v>—</v>
      </c>
      <c r="AI11" s="661" t="str">
        <f t="shared" si="1"/>
        <v>—</v>
      </c>
      <c r="AJ11" s="661" t="str">
        <f t="shared" si="1"/>
        <v>—</v>
      </c>
      <c r="AK11" s="661" t="str">
        <f t="shared" si="1"/>
        <v>—</v>
      </c>
      <c r="AL11" s="661" t="str">
        <f t="shared" si="1"/>
        <v>—</v>
      </c>
      <c r="AM11" s="661" t="str">
        <f t="shared" si="1"/>
        <v>—</v>
      </c>
      <c r="AN11" s="661" t="str">
        <f t="shared" si="1"/>
        <v>—</v>
      </c>
    </row>
    <row r="12" spans="1:40">
      <c r="A12" s="454"/>
      <c r="B12" s="646" t="s">
        <v>951</v>
      </c>
      <c r="C12" s="649" t="e">
        <v>#VALUE!</v>
      </c>
      <c r="D12" s="651" t="e">
        <v>#VALUE!</v>
      </c>
      <c r="E12" s="651" t="e">
        <v>#VALUE!</v>
      </c>
      <c r="F12" s="651" t="e">
        <v>#VALUE!</v>
      </c>
      <c r="G12" s="651" t="e">
        <v>#VALUE!</v>
      </c>
      <c r="H12" s="651" t="e">
        <v>#VALUE!</v>
      </c>
      <c r="I12" s="650" t="e">
        <v>#VALUE!</v>
      </c>
      <c r="J12" s="650" t="e">
        <v>#VALUE!</v>
      </c>
      <c r="K12" s="651" t="e">
        <v>#VALUE!</v>
      </c>
      <c r="L12" s="651" t="e">
        <v>#VALUE!</v>
      </c>
      <c r="M12" s="651" t="e">
        <v>#VALUE!</v>
      </c>
      <c r="N12" s="650" t="e">
        <v>#VALUE!</v>
      </c>
      <c r="O12" s="650" t="e">
        <v>#VALUE!</v>
      </c>
      <c r="P12" s="651" t="e">
        <v>#VALUE!</v>
      </c>
      <c r="Q12" s="651" t="e">
        <v>#VALUE!</v>
      </c>
      <c r="R12" s="650" t="e">
        <v>#VALUE!</v>
      </c>
      <c r="S12" s="650" t="e">
        <v>#VALUE!</v>
      </c>
      <c r="T12" s="652" t="e">
        <v>#VALUE!</v>
      </c>
      <c r="W12" s="664" t="str">
        <f t="shared" ref="W12:AN12" si="2">IF(OR((W8="—"),(W11="—")),"—",(W11-W8))</f>
        <v>—</v>
      </c>
      <c r="X12" s="664" t="str">
        <f t="shared" si="2"/>
        <v>—</v>
      </c>
      <c r="Y12" s="664" t="str">
        <f t="shared" si="2"/>
        <v>—</v>
      </c>
      <c r="Z12" s="664" t="str">
        <f t="shared" si="2"/>
        <v>—</v>
      </c>
      <c r="AA12" s="664" t="str">
        <f t="shared" si="2"/>
        <v>—</v>
      </c>
      <c r="AB12" s="664" t="str">
        <f t="shared" si="2"/>
        <v>—</v>
      </c>
      <c r="AC12" s="664" t="str">
        <f t="shared" si="2"/>
        <v>—</v>
      </c>
      <c r="AD12" s="672" t="str">
        <f t="shared" si="2"/>
        <v>—</v>
      </c>
      <c r="AE12" s="664" t="str">
        <f t="shared" si="2"/>
        <v>—</v>
      </c>
      <c r="AF12" s="664" t="str">
        <f t="shared" si="2"/>
        <v>—</v>
      </c>
      <c r="AG12" s="664" t="str">
        <f t="shared" si="2"/>
        <v>—</v>
      </c>
      <c r="AH12" s="664" t="str">
        <f t="shared" si="2"/>
        <v>—</v>
      </c>
      <c r="AI12" s="664" t="str">
        <f t="shared" si="2"/>
        <v>—</v>
      </c>
      <c r="AJ12" s="664" t="str">
        <f t="shared" si="2"/>
        <v>—</v>
      </c>
      <c r="AK12" s="664" t="str">
        <f t="shared" si="2"/>
        <v>—</v>
      </c>
      <c r="AL12" s="664" t="str">
        <f t="shared" si="2"/>
        <v>—</v>
      </c>
      <c r="AM12" s="664" t="str">
        <f t="shared" si="2"/>
        <v>—</v>
      </c>
      <c r="AN12" s="664" t="str">
        <f t="shared" si="2"/>
        <v>—</v>
      </c>
    </row>
    <row r="13" spans="1:40" s="1" customFormat="1">
      <c r="A13" s="452" t="s">
        <v>833</v>
      </c>
      <c r="B13" s="437" t="s">
        <v>77</v>
      </c>
      <c r="C13" s="441">
        <v>410119</v>
      </c>
      <c r="D13" s="442">
        <v>0</v>
      </c>
      <c r="E13" s="442">
        <v>760939</v>
      </c>
      <c r="F13" s="442">
        <v>274430</v>
      </c>
      <c r="G13" s="442">
        <v>156473</v>
      </c>
      <c r="H13" s="442">
        <v>240325</v>
      </c>
      <c r="I13" s="441">
        <v>1842286</v>
      </c>
      <c r="J13" s="441">
        <v>0</v>
      </c>
      <c r="K13" s="442">
        <v>183829</v>
      </c>
      <c r="L13" s="442">
        <v>209546</v>
      </c>
      <c r="M13" s="442">
        <v>642083</v>
      </c>
      <c r="N13" s="441">
        <v>1035458</v>
      </c>
      <c r="O13" s="441">
        <v>0</v>
      </c>
      <c r="P13" s="442">
        <v>0</v>
      </c>
      <c r="Q13" s="442">
        <v>0</v>
      </c>
      <c r="R13" s="441">
        <v>0</v>
      </c>
      <c r="S13" s="441">
        <v>0</v>
      </c>
      <c r="T13" s="455">
        <v>0</v>
      </c>
      <c r="AD13" s="4"/>
    </row>
    <row r="14" spans="1:40" s="1" customFormat="1">
      <c r="A14" s="440"/>
      <c r="B14" s="32" t="s">
        <v>81</v>
      </c>
      <c r="C14" s="439">
        <v>159</v>
      </c>
      <c r="D14" s="2">
        <v>0</v>
      </c>
      <c r="E14" s="2">
        <v>12764</v>
      </c>
      <c r="F14" s="2">
        <v>1664</v>
      </c>
      <c r="G14" s="2">
        <v>4046</v>
      </c>
      <c r="H14" s="2">
        <v>7517</v>
      </c>
      <c r="I14" s="439">
        <v>26150</v>
      </c>
      <c r="J14" s="439">
        <v>0</v>
      </c>
      <c r="K14" s="2">
        <v>3184</v>
      </c>
      <c r="L14" s="2">
        <v>12535</v>
      </c>
      <c r="M14" s="2">
        <v>49572</v>
      </c>
      <c r="N14" s="439">
        <v>65291</v>
      </c>
      <c r="O14" s="439">
        <v>0</v>
      </c>
      <c r="P14" s="2">
        <v>0</v>
      </c>
      <c r="Q14" s="2">
        <v>0</v>
      </c>
      <c r="R14" s="439">
        <v>0</v>
      </c>
      <c r="S14" s="439">
        <v>0</v>
      </c>
      <c r="T14" s="453">
        <v>0</v>
      </c>
      <c r="AD14" s="4"/>
    </row>
    <row r="15" spans="1:40">
      <c r="A15" s="440"/>
      <c r="B15" s="515" t="s">
        <v>83</v>
      </c>
      <c r="C15" s="515">
        <v>3.8769235270738492E-4</v>
      </c>
      <c r="D15" s="516">
        <v>0</v>
      </c>
      <c r="E15" s="516">
        <v>1.6774012108723563E-2</v>
      </c>
      <c r="F15" s="516">
        <v>6.0634770251065846E-3</v>
      </c>
      <c r="G15" s="516">
        <v>2.5857496181449835E-2</v>
      </c>
      <c r="H15" s="516">
        <v>3.1278477062311454E-2</v>
      </c>
      <c r="I15" s="515">
        <v>1.4194321619987342E-2</v>
      </c>
      <c r="J15" s="515">
        <v>0</v>
      </c>
      <c r="K15" s="516">
        <v>1.7320444543570384E-2</v>
      </c>
      <c r="L15" s="516">
        <v>5.9819800902904376E-2</v>
      </c>
      <c r="M15" s="516">
        <v>7.720497194287966E-2</v>
      </c>
      <c r="N15" s="515">
        <v>6.3055189104724671E-2</v>
      </c>
      <c r="O15" s="515">
        <v>0</v>
      </c>
      <c r="P15" s="516">
        <v>0</v>
      </c>
      <c r="Q15" s="516">
        <v>0</v>
      </c>
      <c r="R15" s="515">
        <v>0</v>
      </c>
      <c r="S15" s="515">
        <v>0</v>
      </c>
      <c r="T15" s="517">
        <v>0</v>
      </c>
      <c r="W15" s="661">
        <f t="shared" ref="W15:AN15" si="3">IF(C15&gt;0,C15,"—")</f>
        <v>3.8769235270738492E-4</v>
      </c>
      <c r="X15" s="661" t="str">
        <f t="shared" si="3"/>
        <v>—</v>
      </c>
      <c r="Y15" s="661">
        <f t="shared" si="3"/>
        <v>1.6774012108723563E-2</v>
      </c>
      <c r="Z15" s="661">
        <f t="shared" si="3"/>
        <v>6.0634770251065846E-3</v>
      </c>
      <c r="AA15" s="661">
        <f t="shared" si="3"/>
        <v>2.5857496181449835E-2</v>
      </c>
      <c r="AB15" s="661">
        <f t="shared" si="3"/>
        <v>3.1278477062311454E-2</v>
      </c>
      <c r="AC15" s="661">
        <f t="shared" si="3"/>
        <v>1.4194321619987342E-2</v>
      </c>
      <c r="AD15" s="669" t="str">
        <f t="shared" si="3"/>
        <v>—</v>
      </c>
      <c r="AE15" s="661">
        <f t="shared" si="3"/>
        <v>1.7320444543570384E-2</v>
      </c>
      <c r="AF15" s="661">
        <f t="shared" si="3"/>
        <v>5.9819800902904376E-2</v>
      </c>
      <c r="AG15" s="661">
        <f t="shared" si="3"/>
        <v>7.720497194287966E-2</v>
      </c>
      <c r="AH15" s="661">
        <f t="shared" si="3"/>
        <v>6.3055189104724671E-2</v>
      </c>
      <c r="AI15" s="661" t="str">
        <f t="shared" si="3"/>
        <v>—</v>
      </c>
      <c r="AJ15" s="661" t="str">
        <f t="shared" si="3"/>
        <v>—</v>
      </c>
      <c r="AK15" s="661" t="str">
        <f t="shared" si="3"/>
        <v>—</v>
      </c>
      <c r="AL15" s="661" t="str">
        <f t="shared" si="3"/>
        <v>—</v>
      </c>
      <c r="AM15" s="661" t="str">
        <f t="shared" si="3"/>
        <v>—</v>
      </c>
      <c r="AN15" s="661" t="str">
        <f t="shared" si="3"/>
        <v>—</v>
      </c>
    </row>
    <row r="16" spans="1:40" s="1" customFormat="1">
      <c r="A16" s="440"/>
      <c r="B16" s="32" t="s">
        <v>78</v>
      </c>
      <c r="C16" s="439">
        <v>428450</v>
      </c>
      <c r="D16" s="2">
        <v>0</v>
      </c>
      <c r="E16" s="2">
        <v>768421</v>
      </c>
      <c r="F16" s="2">
        <v>280066</v>
      </c>
      <c r="G16" s="2">
        <v>154608</v>
      </c>
      <c r="H16" s="2">
        <v>251217</v>
      </c>
      <c r="I16" s="439">
        <v>1882762</v>
      </c>
      <c r="J16" s="439">
        <v>0</v>
      </c>
      <c r="K16" s="2">
        <v>190235</v>
      </c>
      <c r="L16" s="2">
        <v>231545</v>
      </c>
      <c r="M16" s="2">
        <v>680448</v>
      </c>
      <c r="N16" s="439">
        <v>1102228</v>
      </c>
      <c r="O16" s="439">
        <v>0</v>
      </c>
      <c r="P16" s="2">
        <v>0</v>
      </c>
      <c r="Q16" s="2">
        <v>0</v>
      </c>
      <c r="R16" s="439">
        <v>0</v>
      </c>
      <c r="S16" s="439">
        <v>0</v>
      </c>
      <c r="T16" s="453">
        <v>0</v>
      </c>
      <c r="W16" s="120"/>
      <c r="X16" s="120"/>
      <c r="Y16" s="120"/>
      <c r="Z16" s="120"/>
      <c r="AA16" s="120"/>
      <c r="AB16" s="120"/>
      <c r="AC16" s="120"/>
      <c r="AD16" s="670"/>
      <c r="AE16" s="120"/>
      <c r="AF16" s="120"/>
      <c r="AG16" s="120"/>
      <c r="AH16" s="120"/>
      <c r="AI16" s="120"/>
      <c r="AJ16" s="120"/>
      <c r="AK16" s="120"/>
      <c r="AL16" s="120"/>
      <c r="AM16" s="120"/>
      <c r="AN16" s="120"/>
    </row>
    <row r="17" spans="1:40">
      <c r="A17" s="440"/>
      <c r="B17" s="32" t="s">
        <v>82</v>
      </c>
      <c r="C17" s="439">
        <v>101</v>
      </c>
      <c r="D17" s="2">
        <v>0</v>
      </c>
      <c r="E17" s="2">
        <v>19593</v>
      </c>
      <c r="F17" s="2">
        <v>2663</v>
      </c>
      <c r="G17" s="2">
        <v>4179</v>
      </c>
      <c r="H17" s="2">
        <v>7332</v>
      </c>
      <c r="I17" s="439">
        <v>33868</v>
      </c>
      <c r="J17" s="439">
        <v>0</v>
      </c>
      <c r="K17" s="2">
        <v>3025</v>
      </c>
      <c r="L17" s="2">
        <v>12918</v>
      </c>
      <c r="M17" s="2">
        <v>52543</v>
      </c>
      <c r="N17" s="439">
        <v>68486</v>
      </c>
      <c r="O17" s="439">
        <v>0</v>
      </c>
      <c r="P17" s="2">
        <v>0</v>
      </c>
      <c r="Q17" s="2">
        <v>0</v>
      </c>
      <c r="R17" s="439">
        <v>0</v>
      </c>
      <c r="S17" s="439">
        <v>0</v>
      </c>
      <c r="T17" s="453">
        <v>0</v>
      </c>
      <c r="W17" s="662"/>
      <c r="X17" s="662"/>
      <c r="Y17" s="662"/>
      <c r="Z17" s="662"/>
      <c r="AA17" s="662"/>
      <c r="AB17" s="662"/>
      <c r="AC17" s="662"/>
      <c r="AD17" s="671"/>
      <c r="AE17" s="662"/>
      <c r="AF17" s="662"/>
      <c r="AG17" s="662"/>
      <c r="AH17" s="662"/>
      <c r="AI17" s="662"/>
      <c r="AJ17" s="662"/>
      <c r="AK17" s="662"/>
      <c r="AL17" s="662"/>
      <c r="AM17" s="662"/>
      <c r="AN17" s="662"/>
    </row>
    <row r="18" spans="1:40" s="1" customFormat="1">
      <c r="A18" s="440"/>
      <c r="B18" s="531" t="s">
        <v>88</v>
      </c>
      <c r="C18" s="531">
        <v>2.3573345781304704E-4</v>
      </c>
      <c r="D18" s="532">
        <v>0</v>
      </c>
      <c r="E18" s="532">
        <v>2.5497741472448047E-2</v>
      </c>
      <c r="F18" s="532">
        <v>9.5084730027921987E-3</v>
      </c>
      <c r="G18" s="532">
        <v>2.7029649177274139E-2</v>
      </c>
      <c r="H18" s="532">
        <v>2.9185922927190439E-2</v>
      </c>
      <c r="I18" s="531">
        <v>1.7988465881508126E-2</v>
      </c>
      <c r="J18" s="531">
        <v>0</v>
      </c>
      <c r="K18" s="532">
        <v>1.5901385128919494E-2</v>
      </c>
      <c r="L18" s="532">
        <v>5.5790451100218102E-2</v>
      </c>
      <c r="M18" s="532">
        <v>7.7218244450714818E-2</v>
      </c>
      <c r="N18" s="531">
        <v>6.2134150103245425E-2</v>
      </c>
      <c r="O18" s="531">
        <v>0</v>
      </c>
      <c r="P18" s="532">
        <v>0</v>
      </c>
      <c r="Q18" s="532">
        <v>0</v>
      </c>
      <c r="R18" s="531">
        <v>0</v>
      </c>
      <c r="S18" s="531">
        <v>0</v>
      </c>
      <c r="T18" s="533">
        <v>0</v>
      </c>
      <c r="W18" s="661">
        <f t="shared" ref="W18:AN18" si="4">IF(C18&gt;0,C18,"—")</f>
        <v>2.3573345781304704E-4</v>
      </c>
      <c r="X18" s="661" t="str">
        <f t="shared" si="4"/>
        <v>—</v>
      </c>
      <c r="Y18" s="661">
        <f t="shared" si="4"/>
        <v>2.5497741472448047E-2</v>
      </c>
      <c r="Z18" s="661">
        <f t="shared" si="4"/>
        <v>9.5084730027921987E-3</v>
      </c>
      <c r="AA18" s="661">
        <f t="shared" si="4"/>
        <v>2.7029649177274139E-2</v>
      </c>
      <c r="AB18" s="661">
        <f t="shared" si="4"/>
        <v>2.9185922927190439E-2</v>
      </c>
      <c r="AC18" s="661">
        <f t="shared" si="4"/>
        <v>1.7988465881508126E-2</v>
      </c>
      <c r="AD18" s="669" t="str">
        <f t="shared" si="4"/>
        <v>—</v>
      </c>
      <c r="AE18" s="661">
        <f t="shared" si="4"/>
        <v>1.5901385128919494E-2</v>
      </c>
      <c r="AF18" s="661">
        <f t="shared" si="4"/>
        <v>5.5790451100218102E-2</v>
      </c>
      <c r="AG18" s="661">
        <f t="shared" si="4"/>
        <v>7.7218244450714818E-2</v>
      </c>
      <c r="AH18" s="661">
        <f t="shared" si="4"/>
        <v>6.2134150103245425E-2</v>
      </c>
      <c r="AI18" s="661" t="str">
        <f t="shared" si="4"/>
        <v>—</v>
      </c>
      <c r="AJ18" s="661" t="str">
        <f t="shared" si="4"/>
        <v>—</v>
      </c>
      <c r="AK18" s="661" t="str">
        <f t="shared" si="4"/>
        <v>—</v>
      </c>
      <c r="AL18" s="661" t="str">
        <f t="shared" si="4"/>
        <v>—</v>
      </c>
      <c r="AM18" s="661" t="str">
        <f t="shared" si="4"/>
        <v>—</v>
      </c>
      <c r="AN18" s="661" t="str">
        <f t="shared" si="4"/>
        <v>—</v>
      </c>
    </row>
    <row r="19" spans="1:40">
      <c r="A19" s="440"/>
      <c r="B19" s="646" t="s">
        <v>951</v>
      </c>
      <c r="C19" s="649">
        <v>-1.5195889489433788E-4</v>
      </c>
      <c r="D19" s="651" t="e">
        <v>#VALUE!</v>
      </c>
      <c r="E19" s="651">
        <v>8.7237293637244841E-3</v>
      </c>
      <c r="F19" s="651">
        <v>3.4449959776856141E-3</v>
      </c>
      <c r="G19" s="651">
        <v>1.1721529958243042E-3</v>
      </c>
      <c r="H19" s="651">
        <v>-2.092554135121015E-3</v>
      </c>
      <c r="I19" s="650">
        <v>3.7941442615207835E-3</v>
      </c>
      <c r="J19" s="650" t="e">
        <v>#VALUE!</v>
      </c>
      <c r="K19" s="651">
        <v>-1.4190594146508903E-3</v>
      </c>
      <c r="L19" s="651">
        <v>-4.0293498026862731E-3</v>
      </c>
      <c r="M19" s="651">
        <v>1.3272507835157543E-5</v>
      </c>
      <c r="N19" s="650">
        <v>-9.2103900147924578E-4</v>
      </c>
      <c r="O19" s="650" t="e">
        <v>#VALUE!</v>
      </c>
      <c r="P19" s="651" t="e">
        <v>#VALUE!</v>
      </c>
      <c r="Q19" s="651" t="e">
        <v>#VALUE!</v>
      </c>
      <c r="R19" s="650" t="e">
        <v>#VALUE!</v>
      </c>
      <c r="S19" s="650" t="e">
        <v>#VALUE!</v>
      </c>
      <c r="T19" s="652" t="e">
        <v>#VALUE!</v>
      </c>
      <c r="W19" s="664">
        <f t="shared" ref="W19:AN19" si="5">IF(OR((W15="—"),(W18="—")),"—",(W18-W15))</f>
        <v>-1.5195889489433788E-4</v>
      </c>
      <c r="X19" s="664" t="str">
        <f t="shared" si="5"/>
        <v>—</v>
      </c>
      <c r="Y19" s="664">
        <f t="shared" si="5"/>
        <v>8.7237293637244841E-3</v>
      </c>
      <c r="Z19" s="664">
        <f t="shared" si="5"/>
        <v>3.4449959776856141E-3</v>
      </c>
      <c r="AA19" s="664">
        <f t="shared" si="5"/>
        <v>1.1721529958243042E-3</v>
      </c>
      <c r="AB19" s="664">
        <f t="shared" si="5"/>
        <v>-2.092554135121015E-3</v>
      </c>
      <c r="AC19" s="664">
        <f t="shared" si="5"/>
        <v>3.7941442615207835E-3</v>
      </c>
      <c r="AD19" s="672" t="str">
        <f t="shared" si="5"/>
        <v>—</v>
      </c>
      <c r="AE19" s="664">
        <f t="shared" si="5"/>
        <v>-1.4190594146508903E-3</v>
      </c>
      <c r="AF19" s="664">
        <f t="shared" si="5"/>
        <v>-4.0293498026862731E-3</v>
      </c>
      <c r="AG19" s="664">
        <f t="shared" si="5"/>
        <v>1.3272507835157543E-5</v>
      </c>
      <c r="AH19" s="664">
        <f t="shared" si="5"/>
        <v>-9.2103900147924578E-4</v>
      </c>
      <c r="AI19" s="664" t="str">
        <f t="shared" si="5"/>
        <v>—</v>
      </c>
      <c r="AJ19" s="664" t="str">
        <f t="shared" si="5"/>
        <v>—</v>
      </c>
      <c r="AK19" s="664" t="str">
        <f t="shared" si="5"/>
        <v>—</v>
      </c>
      <c r="AL19" s="664" t="str">
        <f t="shared" si="5"/>
        <v>—</v>
      </c>
      <c r="AM19" s="664" t="str">
        <f t="shared" si="5"/>
        <v>—</v>
      </c>
      <c r="AN19" s="664" t="str">
        <f t="shared" si="5"/>
        <v>—</v>
      </c>
    </row>
    <row r="20" spans="1:40" s="1" customFormat="1">
      <c r="A20" s="452" t="s">
        <v>66</v>
      </c>
      <c r="B20" s="437" t="s">
        <v>77</v>
      </c>
      <c r="C20" s="441">
        <v>0</v>
      </c>
      <c r="D20" s="442">
        <v>0</v>
      </c>
      <c r="E20" s="442">
        <v>0</v>
      </c>
      <c r="F20" s="442">
        <v>0</v>
      </c>
      <c r="G20" s="442">
        <v>0</v>
      </c>
      <c r="H20" s="442">
        <v>0</v>
      </c>
      <c r="I20" s="441">
        <v>0</v>
      </c>
      <c r="J20" s="441">
        <v>0</v>
      </c>
      <c r="K20" s="442">
        <v>0</v>
      </c>
      <c r="L20" s="442">
        <v>0</v>
      </c>
      <c r="M20" s="442">
        <v>0</v>
      </c>
      <c r="N20" s="441">
        <v>0</v>
      </c>
      <c r="O20" s="441">
        <v>0</v>
      </c>
      <c r="P20" s="442">
        <v>0</v>
      </c>
      <c r="Q20" s="442">
        <v>0</v>
      </c>
      <c r="R20" s="441">
        <v>0</v>
      </c>
      <c r="S20" s="441">
        <v>0</v>
      </c>
      <c r="T20" s="455">
        <v>0</v>
      </c>
      <c r="AD20" s="4"/>
    </row>
    <row r="21" spans="1:40">
      <c r="A21" s="440"/>
      <c r="B21" s="32" t="s">
        <v>81</v>
      </c>
      <c r="C21" s="439">
        <v>0</v>
      </c>
      <c r="D21" s="2">
        <v>0</v>
      </c>
      <c r="E21" s="2">
        <v>0</v>
      </c>
      <c r="F21" s="2">
        <v>0</v>
      </c>
      <c r="G21" s="2">
        <v>0</v>
      </c>
      <c r="H21" s="2">
        <v>0</v>
      </c>
      <c r="I21" s="439">
        <v>0</v>
      </c>
      <c r="J21" s="439">
        <v>0</v>
      </c>
      <c r="K21" s="2">
        <v>0</v>
      </c>
      <c r="L21" s="2">
        <v>0</v>
      </c>
      <c r="M21" s="2">
        <v>0</v>
      </c>
      <c r="N21" s="439">
        <v>0</v>
      </c>
      <c r="O21" s="439">
        <v>0</v>
      </c>
      <c r="P21" s="2">
        <v>0</v>
      </c>
      <c r="Q21" s="2">
        <v>0</v>
      </c>
      <c r="R21" s="439">
        <v>0</v>
      </c>
      <c r="S21" s="439">
        <v>0</v>
      </c>
      <c r="T21" s="453">
        <v>0</v>
      </c>
    </row>
    <row r="22" spans="1:40" s="1" customFormat="1">
      <c r="A22" s="440"/>
      <c r="B22" s="515" t="s">
        <v>83</v>
      </c>
      <c r="C22" s="515">
        <v>0</v>
      </c>
      <c r="D22" s="516">
        <v>0</v>
      </c>
      <c r="E22" s="516">
        <v>0</v>
      </c>
      <c r="F22" s="516">
        <v>0</v>
      </c>
      <c r="G22" s="516">
        <v>0</v>
      </c>
      <c r="H22" s="516">
        <v>0</v>
      </c>
      <c r="I22" s="515">
        <v>0</v>
      </c>
      <c r="J22" s="515">
        <v>0</v>
      </c>
      <c r="K22" s="516">
        <v>0</v>
      </c>
      <c r="L22" s="516">
        <v>0</v>
      </c>
      <c r="M22" s="516">
        <v>0</v>
      </c>
      <c r="N22" s="515">
        <v>0</v>
      </c>
      <c r="O22" s="515">
        <v>0</v>
      </c>
      <c r="P22" s="516">
        <v>0</v>
      </c>
      <c r="Q22" s="516">
        <v>0</v>
      </c>
      <c r="R22" s="515">
        <v>0</v>
      </c>
      <c r="S22" s="515">
        <v>0</v>
      </c>
      <c r="T22" s="517">
        <v>0</v>
      </c>
      <c r="W22" s="661" t="str">
        <f t="shared" ref="W22:AN22" si="6">IF(C22&gt;0,C22,"—")</f>
        <v>—</v>
      </c>
      <c r="X22" s="661" t="str">
        <f t="shared" si="6"/>
        <v>—</v>
      </c>
      <c r="Y22" s="661" t="str">
        <f t="shared" si="6"/>
        <v>—</v>
      </c>
      <c r="Z22" s="661" t="str">
        <f t="shared" si="6"/>
        <v>—</v>
      </c>
      <c r="AA22" s="661" t="str">
        <f t="shared" si="6"/>
        <v>—</v>
      </c>
      <c r="AB22" s="661" t="str">
        <f t="shared" si="6"/>
        <v>—</v>
      </c>
      <c r="AC22" s="661" t="str">
        <f t="shared" si="6"/>
        <v>—</v>
      </c>
      <c r="AD22" s="669" t="str">
        <f t="shared" si="6"/>
        <v>—</v>
      </c>
      <c r="AE22" s="661" t="str">
        <f t="shared" si="6"/>
        <v>—</v>
      </c>
      <c r="AF22" s="661" t="str">
        <f t="shared" si="6"/>
        <v>—</v>
      </c>
      <c r="AG22" s="661" t="str">
        <f t="shared" si="6"/>
        <v>—</v>
      </c>
      <c r="AH22" s="661" t="str">
        <f t="shared" si="6"/>
        <v>—</v>
      </c>
      <c r="AI22" s="661" t="str">
        <f t="shared" si="6"/>
        <v>—</v>
      </c>
      <c r="AJ22" s="661" t="str">
        <f t="shared" si="6"/>
        <v>—</v>
      </c>
      <c r="AK22" s="661" t="str">
        <f t="shared" si="6"/>
        <v>—</v>
      </c>
      <c r="AL22" s="661" t="str">
        <f t="shared" si="6"/>
        <v>—</v>
      </c>
      <c r="AM22" s="661" t="str">
        <f t="shared" si="6"/>
        <v>—</v>
      </c>
      <c r="AN22" s="661" t="str">
        <f t="shared" si="6"/>
        <v>—</v>
      </c>
    </row>
    <row r="23" spans="1:40">
      <c r="A23" s="440"/>
      <c r="B23" s="32" t="s">
        <v>78</v>
      </c>
      <c r="C23" s="439">
        <v>0</v>
      </c>
      <c r="D23" s="2">
        <v>0</v>
      </c>
      <c r="E23" s="2">
        <v>0</v>
      </c>
      <c r="F23" s="2">
        <v>0</v>
      </c>
      <c r="G23" s="2">
        <v>0</v>
      </c>
      <c r="H23" s="2">
        <v>0</v>
      </c>
      <c r="I23" s="439">
        <v>0</v>
      </c>
      <c r="J23" s="439">
        <v>0</v>
      </c>
      <c r="K23" s="2">
        <v>0</v>
      </c>
      <c r="L23" s="2">
        <v>0</v>
      </c>
      <c r="M23" s="2">
        <v>0</v>
      </c>
      <c r="N23" s="439">
        <v>0</v>
      </c>
      <c r="O23" s="439">
        <v>0</v>
      </c>
      <c r="P23" s="2">
        <v>0</v>
      </c>
      <c r="Q23" s="2">
        <v>0</v>
      </c>
      <c r="R23" s="439">
        <v>0</v>
      </c>
      <c r="S23" s="439">
        <v>0</v>
      </c>
      <c r="T23" s="453">
        <v>0</v>
      </c>
      <c r="W23" s="120"/>
      <c r="X23" s="120"/>
      <c r="Y23" s="120"/>
      <c r="Z23" s="120"/>
      <c r="AA23" s="120"/>
      <c r="AB23" s="120"/>
      <c r="AC23" s="120"/>
      <c r="AD23" s="670"/>
      <c r="AE23" s="120"/>
      <c r="AF23" s="120"/>
      <c r="AG23" s="120"/>
      <c r="AH23" s="120"/>
      <c r="AI23" s="120"/>
      <c r="AJ23" s="120"/>
      <c r="AK23" s="120"/>
      <c r="AL23" s="120"/>
      <c r="AM23" s="120"/>
      <c r="AN23" s="120"/>
    </row>
    <row r="24" spans="1:40" s="1" customFormat="1">
      <c r="A24" s="440"/>
      <c r="B24" s="32" t="s">
        <v>82</v>
      </c>
      <c r="C24" s="439">
        <v>0</v>
      </c>
      <c r="D24" s="2">
        <v>0</v>
      </c>
      <c r="E24" s="2">
        <v>0</v>
      </c>
      <c r="F24" s="2">
        <v>0</v>
      </c>
      <c r="G24" s="2">
        <v>0</v>
      </c>
      <c r="H24" s="2">
        <v>0</v>
      </c>
      <c r="I24" s="439">
        <v>0</v>
      </c>
      <c r="J24" s="439">
        <v>0</v>
      </c>
      <c r="K24" s="2">
        <v>0</v>
      </c>
      <c r="L24" s="2">
        <v>0</v>
      </c>
      <c r="M24" s="2">
        <v>0</v>
      </c>
      <c r="N24" s="439">
        <v>0</v>
      </c>
      <c r="O24" s="439">
        <v>0</v>
      </c>
      <c r="P24" s="2">
        <v>0</v>
      </c>
      <c r="Q24" s="2">
        <v>0</v>
      </c>
      <c r="R24" s="439">
        <v>0</v>
      </c>
      <c r="S24" s="439">
        <v>0</v>
      </c>
      <c r="T24" s="453">
        <v>0</v>
      </c>
      <c r="W24" s="662"/>
      <c r="X24" s="662"/>
      <c r="Y24" s="662"/>
      <c r="Z24" s="662"/>
      <c r="AA24" s="662"/>
      <c r="AB24" s="662"/>
      <c r="AC24" s="662"/>
      <c r="AD24" s="671"/>
      <c r="AE24" s="662"/>
      <c r="AF24" s="662"/>
      <c r="AG24" s="662"/>
      <c r="AH24" s="662"/>
      <c r="AI24" s="662"/>
      <c r="AJ24" s="662"/>
      <c r="AK24" s="662"/>
      <c r="AL24" s="662"/>
      <c r="AM24" s="662"/>
      <c r="AN24" s="662"/>
    </row>
    <row r="25" spans="1:40">
      <c r="A25" s="440"/>
      <c r="B25" s="531" t="s">
        <v>88</v>
      </c>
      <c r="C25" s="531">
        <v>0</v>
      </c>
      <c r="D25" s="532">
        <v>0</v>
      </c>
      <c r="E25" s="532">
        <v>0</v>
      </c>
      <c r="F25" s="532">
        <v>0</v>
      </c>
      <c r="G25" s="532">
        <v>0</v>
      </c>
      <c r="H25" s="532">
        <v>0</v>
      </c>
      <c r="I25" s="531">
        <v>0</v>
      </c>
      <c r="J25" s="531">
        <v>0</v>
      </c>
      <c r="K25" s="532">
        <v>0</v>
      </c>
      <c r="L25" s="532">
        <v>0</v>
      </c>
      <c r="M25" s="532">
        <v>0</v>
      </c>
      <c r="N25" s="531">
        <v>0</v>
      </c>
      <c r="O25" s="531">
        <v>0</v>
      </c>
      <c r="P25" s="532">
        <v>0</v>
      </c>
      <c r="Q25" s="532">
        <v>0</v>
      </c>
      <c r="R25" s="531">
        <v>0</v>
      </c>
      <c r="S25" s="531">
        <v>0</v>
      </c>
      <c r="T25" s="533">
        <v>0</v>
      </c>
      <c r="W25" s="661" t="str">
        <f t="shared" ref="W25:AN25" si="7">IF(C25&gt;0,C25,"—")</f>
        <v>—</v>
      </c>
      <c r="X25" s="661" t="str">
        <f t="shared" si="7"/>
        <v>—</v>
      </c>
      <c r="Y25" s="661" t="str">
        <f t="shared" si="7"/>
        <v>—</v>
      </c>
      <c r="Z25" s="661" t="str">
        <f t="shared" si="7"/>
        <v>—</v>
      </c>
      <c r="AA25" s="661" t="str">
        <f t="shared" si="7"/>
        <v>—</v>
      </c>
      <c r="AB25" s="661" t="str">
        <f t="shared" si="7"/>
        <v>—</v>
      </c>
      <c r="AC25" s="661" t="str">
        <f t="shared" si="7"/>
        <v>—</v>
      </c>
      <c r="AD25" s="669" t="str">
        <f t="shared" si="7"/>
        <v>—</v>
      </c>
      <c r="AE25" s="661" t="str">
        <f t="shared" si="7"/>
        <v>—</v>
      </c>
      <c r="AF25" s="661" t="str">
        <f t="shared" si="7"/>
        <v>—</v>
      </c>
      <c r="AG25" s="661" t="str">
        <f t="shared" si="7"/>
        <v>—</v>
      </c>
      <c r="AH25" s="661" t="str">
        <f t="shared" si="7"/>
        <v>—</v>
      </c>
      <c r="AI25" s="661" t="str">
        <f t="shared" si="7"/>
        <v>—</v>
      </c>
      <c r="AJ25" s="661" t="str">
        <f t="shared" si="7"/>
        <v>—</v>
      </c>
      <c r="AK25" s="661" t="str">
        <f t="shared" si="7"/>
        <v>—</v>
      </c>
      <c r="AL25" s="661" t="str">
        <f t="shared" si="7"/>
        <v>—</v>
      </c>
      <c r="AM25" s="661" t="str">
        <f t="shared" si="7"/>
        <v>—</v>
      </c>
      <c r="AN25" s="661" t="str">
        <f t="shared" si="7"/>
        <v>—</v>
      </c>
    </row>
    <row r="26" spans="1:40" s="1" customFormat="1">
      <c r="A26" s="440"/>
      <c r="B26" s="646" t="s">
        <v>951</v>
      </c>
      <c r="C26" s="649" t="e">
        <v>#VALUE!</v>
      </c>
      <c r="D26" s="651" t="e">
        <v>#VALUE!</v>
      </c>
      <c r="E26" s="651" t="e">
        <v>#VALUE!</v>
      </c>
      <c r="F26" s="651" t="e">
        <v>#VALUE!</v>
      </c>
      <c r="G26" s="651" t="e">
        <v>#VALUE!</v>
      </c>
      <c r="H26" s="651" t="e">
        <v>#VALUE!</v>
      </c>
      <c r="I26" s="650" t="e">
        <v>#VALUE!</v>
      </c>
      <c r="J26" s="650" t="e">
        <v>#VALUE!</v>
      </c>
      <c r="K26" s="651" t="e">
        <v>#VALUE!</v>
      </c>
      <c r="L26" s="651" t="e">
        <v>#VALUE!</v>
      </c>
      <c r="M26" s="651" t="e">
        <v>#VALUE!</v>
      </c>
      <c r="N26" s="650" t="e">
        <v>#VALUE!</v>
      </c>
      <c r="O26" s="650" t="e">
        <v>#VALUE!</v>
      </c>
      <c r="P26" s="651" t="e">
        <v>#VALUE!</v>
      </c>
      <c r="Q26" s="651" t="e">
        <v>#VALUE!</v>
      </c>
      <c r="R26" s="650" t="e">
        <v>#VALUE!</v>
      </c>
      <c r="S26" s="650" t="e">
        <v>#VALUE!</v>
      </c>
      <c r="T26" s="652" t="e">
        <v>#VALUE!</v>
      </c>
      <c r="W26" s="664" t="str">
        <f t="shared" ref="W26:AN26" si="8">IF(OR((W22="—"),(W25="—")),"—",(W25-W22))</f>
        <v>—</v>
      </c>
      <c r="X26" s="664" t="str">
        <f t="shared" si="8"/>
        <v>—</v>
      </c>
      <c r="Y26" s="664" t="str">
        <f t="shared" si="8"/>
        <v>—</v>
      </c>
      <c r="Z26" s="664" t="str">
        <f t="shared" si="8"/>
        <v>—</v>
      </c>
      <c r="AA26" s="664" t="str">
        <f t="shared" si="8"/>
        <v>—</v>
      </c>
      <c r="AB26" s="664" t="str">
        <f t="shared" si="8"/>
        <v>—</v>
      </c>
      <c r="AC26" s="664" t="str">
        <f t="shared" si="8"/>
        <v>—</v>
      </c>
      <c r="AD26" s="672" t="str">
        <f t="shared" si="8"/>
        <v>—</v>
      </c>
      <c r="AE26" s="664" t="str">
        <f t="shared" si="8"/>
        <v>—</v>
      </c>
      <c r="AF26" s="664" t="str">
        <f t="shared" si="8"/>
        <v>—</v>
      </c>
      <c r="AG26" s="664" t="str">
        <f t="shared" si="8"/>
        <v>—</v>
      </c>
      <c r="AH26" s="664" t="str">
        <f t="shared" si="8"/>
        <v>—</v>
      </c>
      <c r="AI26" s="664" t="str">
        <f t="shared" si="8"/>
        <v>—</v>
      </c>
      <c r="AJ26" s="664" t="str">
        <f t="shared" si="8"/>
        <v>—</v>
      </c>
      <c r="AK26" s="664" t="str">
        <f t="shared" si="8"/>
        <v>—</v>
      </c>
      <c r="AL26" s="664" t="str">
        <f t="shared" si="8"/>
        <v>—</v>
      </c>
      <c r="AM26" s="664" t="str">
        <f t="shared" si="8"/>
        <v>—</v>
      </c>
      <c r="AN26" s="664" t="str">
        <f t="shared" si="8"/>
        <v>—</v>
      </c>
    </row>
    <row r="27" spans="1:40">
      <c r="A27" s="452" t="s">
        <v>712</v>
      </c>
      <c r="B27" s="437" t="s">
        <v>77</v>
      </c>
      <c r="C27" s="441">
        <v>3902857</v>
      </c>
      <c r="D27" s="442">
        <v>1349107</v>
      </c>
      <c r="E27" s="442">
        <v>866985</v>
      </c>
      <c r="F27" s="442">
        <v>197014</v>
      </c>
      <c r="G27" s="442">
        <v>0</v>
      </c>
      <c r="H27" s="442">
        <v>25748</v>
      </c>
      <c r="I27" s="441">
        <v>6341711</v>
      </c>
      <c r="J27" s="441">
        <v>0</v>
      </c>
      <c r="K27" s="442">
        <v>0</v>
      </c>
      <c r="L27" s="442">
        <v>0</v>
      </c>
      <c r="M27" s="442">
        <v>0</v>
      </c>
      <c r="N27" s="441">
        <v>0</v>
      </c>
      <c r="O27" s="441">
        <v>0</v>
      </c>
      <c r="P27" s="442">
        <v>0</v>
      </c>
      <c r="Q27" s="442">
        <v>0</v>
      </c>
      <c r="R27" s="441">
        <v>0</v>
      </c>
      <c r="S27" s="441">
        <v>0</v>
      </c>
      <c r="T27" s="455">
        <v>0</v>
      </c>
    </row>
    <row r="28" spans="1:40" s="1" customFormat="1">
      <c r="A28" s="440"/>
      <c r="B28" s="32" t="s">
        <v>81</v>
      </c>
      <c r="C28" s="439">
        <v>5028</v>
      </c>
      <c r="D28" s="2">
        <v>10623</v>
      </c>
      <c r="E28" s="2">
        <v>1223</v>
      </c>
      <c r="F28" s="2">
        <v>192</v>
      </c>
      <c r="G28" s="2">
        <v>0</v>
      </c>
      <c r="H28" s="2">
        <v>0</v>
      </c>
      <c r="I28" s="439">
        <v>17066</v>
      </c>
      <c r="J28" s="439">
        <v>0</v>
      </c>
      <c r="K28" s="2">
        <v>0</v>
      </c>
      <c r="L28" s="2">
        <v>0</v>
      </c>
      <c r="M28" s="2">
        <v>0</v>
      </c>
      <c r="N28" s="439">
        <v>0</v>
      </c>
      <c r="O28" s="439">
        <v>0</v>
      </c>
      <c r="P28" s="2">
        <v>0</v>
      </c>
      <c r="Q28" s="2">
        <v>0</v>
      </c>
      <c r="R28" s="439">
        <v>0</v>
      </c>
      <c r="S28" s="439">
        <v>0</v>
      </c>
      <c r="T28" s="453">
        <v>0</v>
      </c>
      <c r="AD28" s="4"/>
    </row>
    <row r="29" spans="1:40">
      <c r="A29" s="440"/>
      <c r="B29" s="515" t="s">
        <v>83</v>
      </c>
      <c r="C29" s="515">
        <v>1.2882870164087489E-3</v>
      </c>
      <c r="D29" s="516">
        <v>7.874097458541094E-3</v>
      </c>
      <c r="E29" s="516">
        <v>1.4106357088069575E-3</v>
      </c>
      <c r="F29" s="516">
        <v>9.7455003197742291E-4</v>
      </c>
      <c r="G29" s="516">
        <v>0</v>
      </c>
      <c r="H29" s="516">
        <v>0</v>
      </c>
      <c r="I29" s="515">
        <v>2.6910718574214435E-3</v>
      </c>
      <c r="J29" s="515">
        <v>0</v>
      </c>
      <c r="K29" s="516">
        <v>0</v>
      </c>
      <c r="L29" s="516">
        <v>0</v>
      </c>
      <c r="M29" s="516">
        <v>0</v>
      </c>
      <c r="N29" s="515">
        <v>0</v>
      </c>
      <c r="O29" s="515">
        <v>0</v>
      </c>
      <c r="P29" s="516">
        <v>0</v>
      </c>
      <c r="Q29" s="516">
        <v>0</v>
      </c>
      <c r="R29" s="515">
        <v>0</v>
      </c>
      <c r="S29" s="515">
        <v>0</v>
      </c>
      <c r="T29" s="517">
        <v>0</v>
      </c>
      <c r="W29" s="661">
        <f t="shared" ref="W29:AN29" si="9">IF(C29&gt;0,C29,"—")</f>
        <v>1.2882870164087489E-3</v>
      </c>
      <c r="X29" s="661">
        <f t="shared" si="9"/>
        <v>7.874097458541094E-3</v>
      </c>
      <c r="Y29" s="661">
        <f t="shared" si="9"/>
        <v>1.4106357088069575E-3</v>
      </c>
      <c r="Z29" s="661">
        <f t="shared" si="9"/>
        <v>9.7455003197742291E-4</v>
      </c>
      <c r="AA29" s="661" t="str">
        <f t="shared" si="9"/>
        <v>—</v>
      </c>
      <c r="AB29" s="661" t="str">
        <f t="shared" si="9"/>
        <v>—</v>
      </c>
      <c r="AC29" s="661">
        <f t="shared" si="9"/>
        <v>2.6910718574214435E-3</v>
      </c>
      <c r="AD29" s="669" t="str">
        <f t="shared" si="9"/>
        <v>—</v>
      </c>
      <c r="AE29" s="661" t="str">
        <f t="shared" si="9"/>
        <v>—</v>
      </c>
      <c r="AF29" s="661" t="str">
        <f t="shared" si="9"/>
        <v>—</v>
      </c>
      <c r="AG29" s="661" t="str">
        <f t="shared" si="9"/>
        <v>—</v>
      </c>
      <c r="AH29" s="661" t="str">
        <f t="shared" si="9"/>
        <v>—</v>
      </c>
      <c r="AI29" s="661" t="str">
        <f t="shared" si="9"/>
        <v>—</v>
      </c>
      <c r="AJ29" s="661" t="str">
        <f t="shared" si="9"/>
        <v>—</v>
      </c>
      <c r="AK29" s="661" t="str">
        <f t="shared" si="9"/>
        <v>—</v>
      </c>
      <c r="AL29" s="661" t="str">
        <f t="shared" si="9"/>
        <v>—</v>
      </c>
      <c r="AM29" s="661" t="str">
        <f t="shared" si="9"/>
        <v>—</v>
      </c>
      <c r="AN29" s="661" t="str">
        <f t="shared" si="9"/>
        <v>—</v>
      </c>
    </row>
    <row r="30" spans="1:40" s="1" customFormat="1">
      <c r="A30" s="440"/>
      <c r="B30" s="32" t="s">
        <v>78</v>
      </c>
      <c r="C30" s="439">
        <v>3989578</v>
      </c>
      <c r="D30" s="2">
        <v>1315952</v>
      </c>
      <c r="E30" s="2">
        <v>852822</v>
      </c>
      <c r="F30" s="2">
        <v>221970</v>
      </c>
      <c r="G30" s="2">
        <v>0</v>
      </c>
      <c r="H30" s="2">
        <v>26784</v>
      </c>
      <c r="I30" s="439">
        <v>6407106</v>
      </c>
      <c r="J30" s="439">
        <v>11842431</v>
      </c>
      <c r="K30" s="2">
        <v>31414991</v>
      </c>
      <c r="L30" s="2">
        <v>4340740</v>
      </c>
      <c r="M30" s="2">
        <v>252766</v>
      </c>
      <c r="N30" s="439">
        <v>47850928</v>
      </c>
      <c r="O30" s="439">
        <v>0</v>
      </c>
      <c r="P30" s="2">
        <v>0</v>
      </c>
      <c r="Q30" s="2">
        <v>0</v>
      </c>
      <c r="R30" s="439">
        <v>0</v>
      </c>
      <c r="S30" s="439">
        <v>0</v>
      </c>
      <c r="T30" s="453">
        <v>0</v>
      </c>
      <c r="W30" s="120"/>
      <c r="X30" s="120"/>
      <c r="Y30" s="120"/>
      <c r="Z30" s="120"/>
      <c r="AA30" s="120"/>
      <c r="AB30" s="120"/>
      <c r="AC30" s="120"/>
      <c r="AD30" s="670"/>
      <c r="AE30" s="120"/>
      <c r="AF30" s="120"/>
      <c r="AG30" s="120"/>
      <c r="AH30" s="120"/>
      <c r="AI30" s="120"/>
      <c r="AJ30" s="120"/>
      <c r="AK30" s="120"/>
      <c r="AL30" s="120"/>
      <c r="AM30" s="120"/>
      <c r="AN30" s="120"/>
    </row>
    <row r="31" spans="1:40">
      <c r="A31" s="440"/>
      <c r="B31" s="32" t="s">
        <v>82</v>
      </c>
      <c r="C31" s="439">
        <v>5659</v>
      </c>
      <c r="D31" s="2">
        <v>8942</v>
      </c>
      <c r="E31" s="2">
        <v>1229</v>
      </c>
      <c r="F31" s="2">
        <v>325</v>
      </c>
      <c r="G31" s="2">
        <v>0</v>
      </c>
      <c r="H31" s="2">
        <v>0</v>
      </c>
      <c r="I31" s="439">
        <v>16155</v>
      </c>
      <c r="J31" s="439">
        <v>56024</v>
      </c>
      <c r="K31" s="2">
        <v>487512</v>
      </c>
      <c r="L31" s="2">
        <v>200041</v>
      </c>
      <c r="M31" s="2">
        <v>6013</v>
      </c>
      <c r="N31" s="439">
        <v>749590</v>
      </c>
      <c r="O31" s="439">
        <v>0</v>
      </c>
      <c r="P31" s="2">
        <v>0</v>
      </c>
      <c r="Q31" s="2">
        <v>0</v>
      </c>
      <c r="R31" s="439">
        <v>0</v>
      </c>
      <c r="S31" s="439">
        <v>0</v>
      </c>
      <c r="T31" s="453">
        <v>0</v>
      </c>
      <c r="W31" s="662"/>
      <c r="X31" s="662"/>
      <c r="Y31" s="662"/>
      <c r="Z31" s="662"/>
      <c r="AA31" s="662"/>
      <c r="AB31" s="662"/>
      <c r="AC31" s="662"/>
      <c r="AD31" s="671"/>
      <c r="AE31" s="662"/>
      <c r="AF31" s="662"/>
      <c r="AG31" s="662"/>
      <c r="AH31" s="662"/>
      <c r="AI31" s="662"/>
      <c r="AJ31" s="662"/>
      <c r="AK31" s="662"/>
      <c r="AL31" s="662"/>
      <c r="AM31" s="662"/>
      <c r="AN31" s="662"/>
    </row>
    <row r="32" spans="1:40" s="1" customFormat="1">
      <c r="A32" s="440"/>
      <c r="B32" s="531" t="s">
        <v>88</v>
      </c>
      <c r="C32" s="531">
        <v>1.4184457604287971E-3</v>
      </c>
      <c r="D32" s="532">
        <v>6.7950806716354393E-3</v>
      </c>
      <c r="E32" s="532">
        <v>1.4410979078869916E-3</v>
      </c>
      <c r="F32" s="532">
        <v>1.4641618236698652E-3</v>
      </c>
      <c r="G32" s="532">
        <v>0</v>
      </c>
      <c r="H32" s="532">
        <v>0</v>
      </c>
      <c r="I32" s="531">
        <v>2.5214191867592014E-3</v>
      </c>
      <c r="J32" s="531">
        <v>4.7307854274177318E-3</v>
      </c>
      <c r="K32" s="532">
        <v>1.5518451047781615E-2</v>
      </c>
      <c r="L32" s="532">
        <v>4.608453858097928E-2</v>
      </c>
      <c r="M32" s="532">
        <v>2.3788800708956108E-2</v>
      </c>
      <c r="N32" s="531">
        <v>1.5665108939997986E-2</v>
      </c>
      <c r="O32" s="531">
        <v>0</v>
      </c>
      <c r="P32" s="532">
        <v>0</v>
      </c>
      <c r="Q32" s="532">
        <v>0</v>
      </c>
      <c r="R32" s="531">
        <v>0</v>
      </c>
      <c r="S32" s="531">
        <v>0</v>
      </c>
      <c r="T32" s="533">
        <v>0</v>
      </c>
      <c r="W32" s="661">
        <f t="shared" ref="W32:AN32" si="10">IF(C32&gt;0,C32,"—")</f>
        <v>1.4184457604287971E-3</v>
      </c>
      <c r="X32" s="661">
        <f t="shared" si="10"/>
        <v>6.7950806716354393E-3</v>
      </c>
      <c r="Y32" s="661">
        <f t="shared" si="10"/>
        <v>1.4410979078869916E-3</v>
      </c>
      <c r="Z32" s="661">
        <f t="shared" si="10"/>
        <v>1.4641618236698652E-3</v>
      </c>
      <c r="AA32" s="661" t="str">
        <f t="shared" si="10"/>
        <v>—</v>
      </c>
      <c r="AB32" s="661" t="str">
        <f t="shared" si="10"/>
        <v>—</v>
      </c>
      <c r="AC32" s="661">
        <f t="shared" si="10"/>
        <v>2.5214191867592014E-3</v>
      </c>
      <c r="AD32" s="669">
        <f t="shared" si="10"/>
        <v>4.7307854274177318E-3</v>
      </c>
      <c r="AE32" s="661">
        <f t="shared" si="10"/>
        <v>1.5518451047781615E-2</v>
      </c>
      <c r="AF32" s="661">
        <f t="shared" si="10"/>
        <v>4.608453858097928E-2</v>
      </c>
      <c r="AG32" s="661">
        <f t="shared" si="10"/>
        <v>2.3788800708956108E-2</v>
      </c>
      <c r="AH32" s="661">
        <f t="shared" si="10"/>
        <v>1.5665108939997986E-2</v>
      </c>
      <c r="AI32" s="661" t="str">
        <f t="shared" si="10"/>
        <v>—</v>
      </c>
      <c r="AJ32" s="661" t="str">
        <f t="shared" si="10"/>
        <v>—</v>
      </c>
      <c r="AK32" s="661" t="str">
        <f t="shared" si="10"/>
        <v>—</v>
      </c>
      <c r="AL32" s="661" t="str">
        <f t="shared" si="10"/>
        <v>—</v>
      </c>
      <c r="AM32" s="661" t="str">
        <f t="shared" si="10"/>
        <v>—</v>
      </c>
      <c r="AN32" s="661" t="str">
        <f t="shared" si="10"/>
        <v>—</v>
      </c>
    </row>
    <row r="33" spans="1:40">
      <c r="A33" s="440"/>
      <c r="B33" s="646" t="s">
        <v>951</v>
      </c>
      <c r="C33" s="649">
        <v>1.3015874402004827E-4</v>
      </c>
      <c r="D33" s="651">
        <v>-1.0790167869056547E-3</v>
      </c>
      <c r="E33" s="651">
        <v>3.0462199080034122E-5</v>
      </c>
      <c r="F33" s="651">
        <v>4.8961179169244233E-4</v>
      </c>
      <c r="G33" s="651" t="e">
        <v>#VALUE!</v>
      </c>
      <c r="H33" s="651" t="e">
        <v>#VALUE!</v>
      </c>
      <c r="I33" s="650">
        <v>-1.6965267066224206E-4</v>
      </c>
      <c r="J33" s="650" t="e">
        <v>#VALUE!</v>
      </c>
      <c r="K33" s="651" t="e">
        <v>#VALUE!</v>
      </c>
      <c r="L33" s="651" t="e">
        <v>#VALUE!</v>
      </c>
      <c r="M33" s="651" t="e">
        <v>#VALUE!</v>
      </c>
      <c r="N33" s="650" t="e">
        <v>#VALUE!</v>
      </c>
      <c r="O33" s="650" t="e">
        <v>#VALUE!</v>
      </c>
      <c r="P33" s="651" t="e">
        <v>#VALUE!</v>
      </c>
      <c r="Q33" s="651" t="e">
        <v>#VALUE!</v>
      </c>
      <c r="R33" s="650" t="e">
        <v>#VALUE!</v>
      </c>
      <c r="S33" s="650" t="e">
        <v>#VALUE!</v>
      </c>
      <c r="T33" s="652" t="e">
        <v>#VALUE!</v>
      </c>
      <c r="W33" s="664">
        <f t="shared" ref="W33:AN33" si="11">IF(OR((W29="—"),(W32="—")),"—",(W32-W29))</f>
        <v>1.3015874402004827E-4</v>
      </c>
      <c r="X33" s="664">
        <f t="shared" si="11"/>
        <v>-1.0790167869056547E-3</v>
      </c>
      <c r="Y33" s="664">
        <f t="shared" si="11"/>
        <v>3.0462199080034122E-5</v>
      </c>
      <c r="Z33" s="664">
        <f t="shared" si="11"/>
        <v>4.8961179169244233E-4</v>
      </c>
      <c r="AA33" s="664" t="str">
        <f t="shared" si="11"/>
        <v>—</v>
      </c>
      <c r="AB33" s="664" t="str">
        <f t="shared" si="11"/>
        <v>—</v>
      </c>
      <c r="AC33" s="664">
        <f t="shared" si="11"/>
        <v>-1.6965267066224206E-4</v>
      </c>
      <c r="AD33" s="672" t="str">
        <f t="shared" si="11"/>
        <v>—</v>
      </c>
      <c r="AE33" s="664" t="str">
        <f t="shared" si="11"/>
        <v>—</v>
      </c>
      <c r="AF33" s="664" t="str">
        <f t="shared" si="11"/>
        <v>—</v>
      </c>
      <c r="AG33" s="664" t="str">
        <f t="shared" si="11"/>
        <v>—</v>
      </c>
      <c r="AH33" s="664" t="str">
        <f t="shared" si="11"/>
        <v>—</v>
      </c>
      <c r="AI33" s="664" t="str">
        <f t="shared" si="11"/>
        <v>—</v>
      </c>
      <c r="AJ33" s="664" t="str">
        <f t="shared" si="11"/>
        <v>—</v>
      </c>
      <c r="AK33" s="664" t="str">
        <f t="shared" si="11"/>
        <v>—</v>
      </c>
      <c r="AL33" s="664" t="str">
        <f t="shared" si="11"/>
        <v>—</v>
      </c>
      <c r="AM33" s="664" t="str">
        <f t="shared" si="11"/>
        <v>—</v>
      </c>
      <c r="AN33" s="664" t="str">
        <f t="shared" si="11"/>
        <v>—</v>
      </c>
    </row>
    <row r="34" spans="1:40" s="1" customFormat="1">
      <c r="A34" s="452" t="s">
        <v>561</v>
      </c>
      <c r="B34" s="437" t="s">
        <v>77</v>
      </c>
      <c r="C34" s="441">
        <v>0</v>
      </c>
      <c r="D34" s="442">
        <v>0</v>
      </c>
      <c r="E34" s="442">
        <v>0</v>
      </c>
      <c r="F34" s="442">
        <v>0</v>
      </c>
      <c r="G34" s="442">
        <v>0</v>
      </c>
      <c r="H34" s="442">
        <v>0</v>
      </c>
      <c r="I34" s="441">
        <v>0</v>
      </c>
      <c r="J34" s="441">
        <v>0</v>
      </c>
      <c r="K34" s="442">
        <v>0</v>
      </c>
      <c r="L34" s="442">
        <v>0</v>
      </c>
      <c r="M34" s="442">
        <v>0</v>
      </c>
      <c r="N34" s="441">
        <v>0</v>
      </c>
      <c r="O34" s="441">
        <v>2914530.8</v>
      </c>
      <c r="P34" s="442">
        <v>192925.9</v>
      </c>
      <c r="Q34" s="442">
        <v>0</v>
      </c>
      <c r="R34" s="441">
        <v>3107456.6999999997</v>
      </c>
      <c r="S34" s="441">
        <v>10692</v>
      </c>
      <c r="T34" s="455">
        <v>10692</v>
      </c>
      <c r="AD34" s="4"/>
    </row>
    <row r="35" spans="1:40">
      <c r="A35" s="440"/>
      <c r="B35" s="32" t="s">
        <v>81</v>
      </c>
      <c r="C35" s="439">
        <v>0</v>
      </c>
      <c r="D35" s="2">
        <v>0</v>
      </c>
      <c r="E35" s="2">
        <v>0</v>
      </c>
      <c r="F35" s="2">
        <v>0</v>
      </c>
      <c r="G35" s="2">
        <v>0</v>
      </c>
      <c r="H35" s="2">
        <v>0</v>
      </c>
      <c r="I35" s="439">
        <v>0</v>
      </c>
      <c r="J35" s="439">
        <v>0</v>
      </c>
      <c r="K35" s="2">
        <v>0</v>
      </c>
      <c r="L35" s="2">
        <v>0</v>
      </c>
      <c r="M35" s="2">
        <v>0</v>
      </c>
      <c r="N35" s="439">
        <v>0</v>
      </c>
      <c r="O35" s="439">
        <v>97837.9</v>
      </c>
      <c r="P35" s="2">
        <v>10862.6</v>
      </c>
      <c r="Q35" s="2">
        <v>0</v>
      </c>
      <c r="R35" s="439">
        <v>108700.5</v>
      </c>
      <c r="S35" s="439">
        <v>0</v>
      </c>
      <c r="T35" s="453">
        <v>0</v>
      </c>
    </row>
    <row r="36" spans="1:40" s="1" customFormat="1">
      <c r="A36" s="440"/>
      <c r="B36" s="515" t="s">
        <v>83</v>
      </c>
      <c r="C36" s="515">
        <v>0</v>
      </c>
      <c r="D36" s="516">
        <v>0</v>
      </c>
      <c r="E36" s="516">
        <v>0</v>
      </c>
      <c r="F36" s="516">
        <v>0</v>
      </c>
      <c r="G36" s="516">
        <v>0</v>
      </c>
      <c r="H36" s="516">
        <v>0</v>
      </c>
      <c r="I36" s="515">
        <v>0</v>
      </c>
      <c r="J36" s="515">
        <v>0</v>
      </c>
      <c r="K36" s="516">
        <v>0</v>
      </c>
      <c r="L36" s="516">
        <v>0</v>
      </c>
      <c r="M36" s="516">
        <v>0</v>
      </c>
      <c r="N36" s="515">
        <v>0</v>
      </c>
      <c r="O36" s="515">
        <v>3.3569005343844709E-2</v>
      </c>
      <c r="P36" s="516">
        <v>5.6304518988896775E-2</v>
      </c>
      <c r="Q36" s="516">
        <v>0</v>
      </c>
      <c r="R36" s="515">
        <v>3.4980535690167465E-2</v>
      </c>
      <c r="S36" s="515">
        <v>0</v>
      </c>
      <c r="T36" s="517">
        <v>0</v>
      </c>
      <c r="W36" s="661" t="str">
        <f t="shared" ref="W36:AN36" si="12">IF(C36&gt;0,C36,"—")</f>
        <v>—</v>
      </c>
      <c r="X36" s="661" t="str">
        <f t="shared" si="12"/>
        <v>—</v>
      </c>
      <c r="Y36" s="661" t="str">
        <f t="shared" si="12"/>
        <v>—</v>
      </c>
      <c r="Z36" s="661" t="str">
        <f t="shared" si="12"/>
        <v>—</v>
      </c>
      <c r="AA36" s="661" t="str">
        <f t="shared" si="12"/>
        <v>—</v>
      </c>
      <c r="AB36" s="661" t="str">
        <f t="shared" si="12"/>
        <v>—</v>
      </c>
      <c r="AC36" s="661" t="str">
        <f t="shared" si="12"/>
        <v>—</v>
      </c>
      <c r="AD36" s="669" t="str">
        <f t="shared" si="12"/>
        <v>—</v>
      </c>
      <c r="AE36" s="661" t="str">
        <f t="shared" si="12"/>
        <v>—</v>
      </c>
      <c r="AF36" s="661" t="str">
        <f t="shared" si="12"/>
        <v>—</v>
      </c>
      <c r="AG36" s="661" t="str">
        <f t="shared" si="12"/>
        <v>—</v>
      </c>
      <c r="AH36" s="661" t="str">
        <f t="shared" si="12"/>
        <v>—</v>
      </c>
      <c r="AI36" s="661">
        <f t="shared" si="12"/>
        <v>3.3569005343844709E-2</v>
      </c>
      <c r="AJ36" s="661">
        <f t="shared" si="12"/>
        <v>5.6304518988896775E-2</v>
      </c>
      <c r="AK36" s="661" t="str">
        <f t="shared" si="12"/>
        <v>—</v>
      </c>
      <c r="AL36" s="661">
        <f t="shared" si="12"/>
        <v>3.4980535690167465E-2</v>
      </c>
      <c r="AM36" s="661" t="str">
        <f t="shared" si="12"/>
        <v>—</v>
      </c>
      <c r="AN36" s="661" t="str">
        <f t="shared" si="12"/>
        <v>—</v>
      </c>
    </row>
    <row r="37" spans="1:40">
      <c r="A37" s="440"/>
      <c r="B37" s="32" t="s">
        <v>78</v>
      </c>
      <c r="C37" s="439">
        <v>1298055.8</v>
      </c>
      <c r="D37" s="2">
        <v>384218</v>
      </c>
      <c r="E37" s="2">
        <v>974584</v>
      </c>
      <c r="F37" s="2">
        <v>1099749.8999999999</v>
      </c>
      <c r="G37" s="2">
        <v>506800</v>
      </c>
      <c r="H37" s="2">
        <v>295312</v>
      </c>
      <c r="I37" s="439">
        <v>4558719.6999999993</v>
      </c>
      <c r="J37" s="439">
        <v>105112</v>
      </c>
      <c r="K37" s="2">
        <v>497463</v>
      </c>
      <c r="L37" s="2">
        <v>794046.5</v>
      </c>
      <c r="M37" s="2">
        <v>177133</v>
      </c>
      <c r="N37" s="439">
        <v>1573754.5</v>
      </c>
      <c r="O37" s="439">
        <v>3064489.1</v>
      </c>
      <c r="P37" s="2">
        <v>194498</v>
      </c>
      <c r="Q37" s="2">
        <v>0</v>
      </c>
      <c r="R37" s="439">
        <v>3258987.1</v>
      </c>
      <c r="S37" s="439">
        <v>30979</v>
      </c>
      <c r="T37" s="453">
        <v>30979</v>
      </c>
      <c r="W37" s="120"/>
      <c r="X37" s="120"/>
      <c r="Y37" s="120"/>
      <c r="Z37" s="120"/>
      <c r="AA37" s="120"/>
      <c r="AB37" s="120"/>
      <c r="AC37" s="120"/>
      <c r="AD37" s="670"/>
      <c r="AE37" s="120"/>
      <c r="AF37" s="120"/>
      <c r="AG37" s="120"/>
      <c r="AH37" s="120"/>
      <c r="AI37" s="120"/>
      <c r="AJ37" s="120"/>
      <c r="AK37" s="120"/>
      <c r="AL37" s="120"/>
      <c r="AM37" s="120"/>
      <c r="AN37" s="120"/>
    </row>
    <row r="38" spans="1:40" s="1" customFormat="1">
      <c r="A38" s="440"/>
      <c r="B38" s="32" t="s">
        <v>82</v>
      </c>
      <c r="C38" s="439">
        <v>2134</v>
      </c>
      <c r="D38" s="2">
        <v>1173</v>
      </c>
      <c r="E38" s="2">
        <v>5084</v>
      </c>
      <c r="F38" s="2">
        <v>4153</v>
      </c>
      <c r="G38" s="2">
        <v>1652</v>
      </c>
      <c r="H38" s="2">
        <v>3393</v>
      </c>
      <c r="I38" s="439">
        <v>17589</v>
      </c>
      <c r="J38" s="439">
        <v>906</v>
      </c>
      <c r="K38" s="2">
        <v>9330</v>
      </c>
      <c r="L38" s="2">
        <v>11577</v>
      </c>
      <c r="M38" s="2">
        <v>1443</v>
      </c>
      <c r="N38" s="439">
        <v>23256</v>
      </c>
      <c r="O38" s="439">
        <v>96418.8</v>
      </c>
      <c r="P38" s="2">
        <v>11286.8</v>
      </c>
      <c r="Q38" s="2">
        <v>0</v>
      </c>
      <c r="R38" s="439">
        <v>107705.60000000001</v>
      </c>
      <c r="S38" s="439">
        <v>0</v>
      </c>
      <c r="T38" s="453">
        <v>0</v>
      </c>
      <c r="W38" s="662"/>
      <c r="X38" s="662"/>
      <c r="Y38" s="662"/>
      <c r="Z38" s="662"/>
      <c r="AA38" s="662"/>
      <c r="AB38" s="662"/>
      <c r="AC38" s="662"/>
      <c r="AD38" s="671"/>
      <c r="AE38" s="662"/>
      <c r="AF38" s="662"/>
      <c r="AG38" s="662"/>
      <c r="AH38" s="662"/>
      <c r="AI38" s="662"/>
      <c r="AJ38" s="662"/>
      <c r="AK38" s="662"/>
      <c r="AL38" s="662"/>
      <c r="AM38" s="662"/>
      <c r="AN38" s="662"/>
    </row>
    <row r="39" spans="1:40">
      <c r="A39" s="440"/>
      <c r="B39" s="531" t="s">
        <v>88</v>
      </c>
      <c r="C39" s="531">
        <v>1.6439971224657677E-3</v>
      </c>
      <c r="D39" s="532">
        <v>3.052954312395567E-3</v>
      </c>
      <c r="E39" s="532">
        <v>5.2165847171716344E-3</v>
      </c>
      <c r="F39" s="532">
        <v>3.7763131417425E-3</v>
      </c>
      <c r="G39" s="532">
        <v>3.2596685082872928E-3</v>
      </c>
      <c r="H39" s="532">
        <v>1.1489543262718751E-2</v>
      </c>
      <c r="I39" s="531">
        <v>3.8583201331724788E-3</v>
      </c>
      <c r="J39" s="531">
        <v>8.6193774259837128E-3</v>
      </c>
      <c r="K39" s="532">
        <v>1.8755163700616931E-2</v>
      </c>
      <c r="L39" s="532">
        <v>1.4579750682107408E-2</v>
      </c>
      <c r="M39" s="532">
        <v>8.1464210508487966E-3</v>
      </c>
      <c r="N39" s="531">
        <v>1.4777400159936E-2</v>
      </c>
      <c r="O39" s="531">
        <v>3.1463254348008611E-2</v>
      </c>
      <c r="P39" s="532">
        <v>5.8030416765210951E-2</v>
      </c>
      <c r="Q39" s="532">
        <v>0</v>
      </c>
      <c r="R39" s="531">
        <v>3.3048796050772954E-2</v>
      </c>
      <c r="S39" s="531">
        <v>0</v>
      </c>
      <c r="T39" s="533">
        <v>0</v>
      </c>
      <c r="W39" s="661">
        <f t="shared" ref="W39:AN39" si="13">IF(C39&gt;0,C39,"—")</f>
        <v>1.6439971224657677E-3</v>
      </c>
      <c r="X39" s="661">
        <f t="shared" si="13"/>
        <v>3.052954312395567E-3</v>
      </c>
      <c r="Y39" s="661">
        <f t="shared" si="13"/>
        <v>5.2165847171716344E-3</v>
      </c>
      <c r="Z39" s="661">
        <f t="shared" si="13"/>
        <v>3.7763131417425E-3</v>
      </c>
      <c r="AA39" s="661">
        <f t="shared" si="13"/>
        <v>3.2596685082872928E-3</v>
      </c>
      <c r="AB39" s="661">
        <f t="shared" si="13"/>
        <v>1.1489543262718751E-2</v>
      </c>
      <c r="AC39" s="661">
        <f t="shared" si="13"/>
        <v>3.8583201331724788E-3</v>
      </c>
      <c r="AD39" s="669">
        <f t="shared" si="13"/>
        <v>8.6193774259837128E-3</v>
      </c>
      <c r="AE39" s="661">
        <f t="shared" si="13"/>
        <v>1.8755163700616931E-2</v>
      </c>
      <c r="AF39" s="661">
        <f t="shared" si="13"/>
        <v>1.4579750682107408E-2</v>
      </c>
      <c r="AG39" s="661">
        <f t="shared" si="13"/>
        <v>8.1464210508487966E-3</v>
      </c>
      <c r="AH39" s="661">
        <f t="shared" si="13"/>
        <v>1.4777400159936E-2</v>
      </c>
      <c r="AI39" s="661">
        <f t="shared" si="13"/>
        <v>3.1463254348008611E-2</v>
      </c>
      <c r="AJ39" s="661">
        <f t="shared" si="13"/>
        <v>5.8030416765210951E-2</v>
      </c>
      <c r="AK39" s="661" t="str">
        <f t="shared" si="13"/>
        <v>—</v>
      </c>
      <c r="AL39" s="661">
        <f t="shared" si="13"/>
        <v>3.3048796050772954E-2</v>
      </c>
      <c r="AM39" s="661" t="str">
        <f t="shared" si="13"/>
        <v>—</v>
      </c>
      <c r="AN39" s="661" t="str">
        <f t="shared" si="13"/>
        <v>—</v>
      </c>
    </row>
    <row r="40" spans="1:40" s="1" customFormat="1">
      <c r="A40" s="440"/>
      <c r="B40" s="646" t="s">
        <v>951</v>
      </c>
      <c r="C40" s="649" t="e">
        <v>#VALUE!</v>
      </c>
      <c r="D40" s="651" t="e">
        <v>#VALUE!</v>
      </c>
      <c r="E40" s="651" t="e">
        <v>#VALUE!</v>
      </c>
      <c r="F40" s="651" t="e">
        <v>#VALUE!</v>
      </c>
      <c r="G40" s="651" t="e">
        <v>#VALUE!</v>
      </c>
      <c r="H40" s="651" t="e">
        <v>#VALUE!</v>
      </c>
      <c r="I40" s="650" t="e">
        <v>#VALUE!</v>
      </c>
      <c r="J40" s="650" t="e">
        <v>#VALUE!</v>
      </c>
      <c r="K40" s="651" t="e">
        <v>#VALUE!</v>
      </c>
      <c r="L40" s="651" t="e">
        <v>#VALUE!</v>
      </c>
      <c r="M40" s="651" t="e">
        <v>#VALUE!</v>
      </c>
      <c r="N40" s="650" t="e">
        <v>#VALUE!</v>
      </c>
      <c r="O40" s="650">
        <v>-2.1057509958360976E-3</v>
      </c>
      <c r="P40" s="651">
        <v>1.7258977763141767E-3</v>
      </c>
      <c r="Q40" s="651" t="e">
        <v>#VALUE!</v>
      </c>
      <c r="R40" s="650">
        <v>-1.9317396393945113E-3</v>
      </c>
      <c r="S40" s="650" t="e">
        <v>#VALUE!</v>
      </c>
      <c r="T40" s="652" t="e">
        <v>#VALUE!</v>
      </c>
      <c r="W40" s="664" t="str">
        <f t="shared" ref="W40:AN40" si="14">IF(OR((W36="—"),(W39="—")),"—",(W39-W36))</f>
        <v>—</v>
      </c>
      <c r="X40" s="664" t="str">
        <f t="shared" si="14"/>
        <v>—</v>
      </c>
      <c r="Y40" s="664" t="str">
        <f t="shared" si="14"/>
        <v>—</v>
      </c>
      <c r="Z40" s="664" t="str">
        <f t="shared" si="14"/>
        <v>—</v>
      </c>
      <c r="AA40" s="664" t="str">
        <f t="shared" si="14"/>
        <v>—</v>
      </c>
      <c r="AB40" s="664" t="str">
        <f t="shared" si="14"/>
        <v>—</v>
      </c>
      <c r="AC40" s="664" t="str">
        <f t="shared" si="14"/>
        <v>—</v>
      </c>
      <c r="AD40" s="672" t="str">
        <f t="shared" si="14"/>
        <v>—</v>
      </c>
      <c r="AE40" s="664" t="str">
        <f t="shared" si="14"/>
        <v>—</v>
      </c>
      <c r="AF40" s="664" t="str">
        <f t="shared" si="14"/>
        <v>—</v>
      </c>
      <c r="AG40" s="664" t="str">
        <f t="shared" si="14"/>
        <v>—</v>
      </c>
      <c r="AH40" s="664" t="str">
        <f t="shared" si="14"/>
        <v>—</v>
      </c>
      <c r="AI40" s="664">
        <f t="shared" si="14"/>
        <v>-2.1057509958360976E-3</v>
      </c>
      <c r="AJ40" s="664">
        <f t="shared" si="14"/>
        <v>1.7258977763141767E-3</v>
      </c>
      <c r="AK40" s="664" t="str">
        <f t="shared" si="14"/>
        <v>—</v>
      </c>
      <c r="AL40" s="664">
        <f t="shared" si="14"/>
        <v>-1.9317396393945113E-3</v>
      </c>
      <c r="AM40" s="664" t="str">
        <f t="shared" si="14"/>
        <v>—</v>
      </c>
      <c r="AN40" s="664" t="str">
        <f t="shared" si="14"/>
        <v>—</v>
      </c>
    </row>
    <row r="41" spans="1:40">
      <c r="A41" s="452" t="s">
        <v>175</v>
      </c>
      <c r="B41" s="437" t="s">
        <v>77</v>
      </c>
      <c r="C41" s="441">
        <v>894762</v>
      </c>
      <c r="D41" s="442">
        <v>0</v>
      </c>
      <c r="E41" s="442">
        <v>1020821</v>
      </c>
      <c r="F41" s="442">
        <v>505460</v>
      </c>
      <c r="G41" s="442">
        <v>61135</v>
      </c>
      <c r="H41" s="442">
        <v>0</v>
      </c>
      <c r="I41" s="441">
        <v>2482178</v>
      </c>
      <c r="J41" s="441">
        <v>0</v>
      </c>
      <c r="K41" s="442">
        <v>456459</v>
      </c>
      <c r="L41" s="442">
        <v>701314</v>
      </c>
      <c r="M41" s="442">
        <v>144906</v>
      </c>
      <c r="N41" s="441">
        <v>1302679</v>
      </c>
      <c r="O41" s="441">
        <v>84010</v>
      </c>
      <c r="P41" s="442">
        <v>0</v>
      </c>
      <c r="Q41" s="442">
        <v>0</v>
      </c>
      <c r="R41" s="441">
        <v>84010</v>
      </c>
      <c r="S41" s="441">
        <v>0</v>
      </c>
      <c r="T41" s="455">
        <v>0</v>
      </c>
    </row>
    <row r="42" spans="1:40" s="1" customFormat="1">
      <c r="A42" s="440"/>
      <c r="B42" s="32" t="s">
        <v>81</v>
      </c>
      <c r="C42" s="439">
        <v>1207</v>
      </c>
      <c r="D42" s="2">
        <v>0</v>
      </c>
      <c r="E42" s="2">
        <v>10296</v>
      </c>
      <c r="F42" s="2">
        <v>4678</v>
      </c>
      <c r="G42" s="2">
        <v>105</v>
      </c>
      <c r="H42" s="2">
        <v>0</v>
      </c>
      <c r="I42" s="439">
        <v>16286</v>
      </c>
      <c r="J42" s="439">
        <v>0</v>
      </c>
      <c r="K42" s="2">
        <v>21377</v>
      </c>
      <c r="L42" s="2">
        <v>58346</v>
      </c>
      <c r="M42" s="2">
        <v>7275</v>
      </c>
      <c r="N42" s="439">
        <v>86998</v>
      </c>
      <c r="O42" s="439">
        <v>10200</v>
      </c>
      <c r="P42" s="2">
        <v>0</v>
      </c>
      <c r="Q42" s="2">
        <v>0</v>
      </c>
      <c r="R42" s="439">
        <v>10200</v>
      </c>
      <c r="S42" s="439">
        <v>0</v>
      </c>
      <c r="T42" s="453">
        <v>0</v>
      </c>
      <c r="AD42" s="4"/>
    </row>
    <row r="43" spans="1:40">
      <c r="A43" s="440"/>
      <c r="B43" s="515" t="s">
        <v>83</v>
      </c>
      <c r="C43" s="515">
        <v>1.3489620703606099E-3</v>
      </c>
      <c r="D43" s="516">
        <v>0</v>
      </c>
      <c r="E43" s="516">
        <v>1.0085999406360175E-2</v>
      </c>
      <c r="F43" s="516">
        <v>9.2549360978118941E-3</v>
      </c>
      <c r="G43" s="516">
        <v>1.7175104277418827E-3</v>
      </c>
      <c r="H43" s="516">
        <v>0</v>
      </c>
      <c r="I43" s="515">
        <v>6.561173292165187E-3</v>
      </c>
      <c r="J43" s="515">
        <v>0</v>
      </c>
      <c r="K43" s="516">
        <v>4.6832245612420831E-2</v>
      </c>
      <c r="L43" s="516">
        <v>8.3195259184901491E-2</v>
      </c>
      <c r="M43" s="516">
        <v>5.0204960457123929E-2</v>
      </c>
      <c r="N43" s="515">
        <v>6.678391223010427E-2</v>
      </c>
      <c r="O43" s="515">
        <v>0.12141411736698011</v>
      </c>
      <c r="P43" s="516">
        <v>0</v>
      </c>
      <c r="Q43" s="516">
        <v>0</v>
      </c>
      <c r="R43" s="515">
        <v>0.12141411736698011</v>
      </c>
      <c r="S43" s="515">
        <v>0</v>
      </c>
      <c r="T43" s="517">
        <v>0</v>
      </c>
      <c r="W43" s="661">
        <f t="shared" ref="W43:AN43" si="15">IF(C43&gt;0,C43,"—")</f>
        <v>1.3489620703606099E-3</v>
      </c>
      <c r="X43" s="661" t="str">
        <f t="shared" si="15"/>
        <v>—</v>
      </c>
      <c r="Y43" s="661">
        <f t="shared" si="15"/>
        <v>1.0085999406360175E-2</v>
      </c>
      <c r="Z43" s="661">
        <f t="shared" si="15"/>
        <v>9.2549360978118941E-3</v>
      </c>
      <c r="AA43" s="661">
        <f t="shared" si="15"/>
        <v>1.7175104277418827E-3</v>
      </c>
      <c r="AB43" s="661" t="str">
        <f t="shared" si="15"/>
        <v>—</v>
      </c>
      <c r="AC43" s="661">
        <f t="shared" si="15"/>
        <v>6.561173292165187E-3</v>
      </c>
      <c r="AD43" s="669" t="str">
        <f t="shared" si="15"/>
        <v>—</v>
      </c>
      <c r="AE43" s="661">
        <f t="shared" si="15"/>
        <v>4.6832245612420831E-2</v>
      </c>
      <c r="AF43" s="661">
        <f t="shared" si="15"/>
        <v>8.3195259184901491E-2</v>
      </c>
      <c r="AG43" s="661">
        <f t="shared" si="15"/>
        <v>5.0204960457123929E-2</v>
      </c>
      <c r="AH43" s="661">
        <f t="shared" si="15"/>
        <v>6.678391223010427E-2</v>
      </c>
      <c r="AI43" s="661">
        <f t="shared" si="15"/>
        <v>0.12141411736698011</v>
      </c>
      <c r="AJ43" s="661" t="str">
        <f t="shared" si="15"/>
        <v>—</v>
      </c>
      <c r="AK43" s="661" t="str">
        <f t="shared" si="15"/>
        <v>—</v>
      </c>
      <c r="AL43" s="661">
        <f t="shared" si="15"/>
        <v>0.12141411736698011</v>
      </c>
      <c r="AM43" s="661" t="str">
        <f t="shared" si="15"/>
        <v>—</v>
      </c>
      <c r="AN43" s="661" t="str">
        <f t="shared" si="15"/>
        <v>—</v>
      </c>
    </row>
    <row r="44" spans="1:40" s="1" customFormat="1">
      <c r="A44" s="440"/>
      <c r="B44" s="32" t="s">
        <v>78</v>
      </c>
      <c r="C44" s="439">
        <v>902564</v>
      </c>
      <c r="D44" s="2">
        <v>0</v>
      </c>
      <c r="E44" s="2">
        <v>1026266</v>
      </c>
      <c r="F44" s="2">
        <v>511452</v>
      </c>
      <c r="G44" s="2">
        <v>62328</v>
      </c>
      <c r="H44" s="2">
        <v>0</v>
      </c>
      <c r="I44" s="439">
        <v>2502610</v>
      </c>
      <c r="J44" s="439">
        <v>0</v>
      </c>
      <c r="K44" s="2">
        <v>474853</v>
      </c>
      <c r="L44" s="2">
        <v>721681</v>
      </c>
      <c r="M44" s="2">
        <v>148800</v>
      </c>
      <c r="N44" s="439">
        <v>1345334</v>
      </c>
      <c r="O44" s="439">
        <v>87866</v>
      </c>
      <c r="P44" s="2">
        <v>0</v>
      </c>
      <c r="Q44" s="2">
        <v>0</v>
      </c>
      <c r="R44" s="439">
        <v>87866</v>
      </c>
      <c r="S44" s="439">
        <v>0</v>
      </c>
      <c r="T44" s="453">
        <v>0</v>
      </c>
      <c r="W44" s="120"/>
      <c r="X44" s="120"/>
      <c r="Y44" s="120"/>
      <c r="Z44" s="120"/>
      <c r="AA44" s="120"/>
      <c r="AB44" s="120"/>
      <c r="AC44" s="120"/>
      <c r="AD44" s="670"/>
      <c r="AE44" s="120"/>
      <c r="AF44" s="120"/>
      <c r="AG44" s="120"/>
      <c r="AH44" s="120"/>
      <c r="AI44" s="120"/>
      <c r="AJ44" s="120"/>
      <c r="AK44" s="120"/>
      <c r="AL44" s="120"/>
      <c r="AM44" s="120"/>
      <c r="AN44" s="120"/>
    </row>
    <row r="45" spans="1:40">
      <c r="A45" s="440"/>
      <c r="B45" s="32" t="s">
        <v>82</v>
      </c>
      <c r="C45" s="439">
        <v>1090</v>
      </c>
      <c r="D45" s="2">
        <v>0</v>
      </c>
      <c r="E45" s="2">
        <v>14627</v>
      </c>
      <c r="F45" s="2">
        <v>5780</v>
      </c>
      <c r="G45" s="2">
        <v>100</v>
      </c>
      <c r="H45" s="2">
        <v>0</v>
      </c>
      <c r="I45" s="439">
        <v>21597</v>
      </c>
      <c r="J45" s="439">
        <v>0</v>
      </c>
      <c r="K45" s="2">
        <v>17998</v>
      </c>
      <c r="L45" s="2">
        <v>59384</v>
      </c>
      <c r="M45" s="2">
        <v>6912</v>
      </c>
      <c r="N45" s="439">
        <v>84294</v>
      </c>
      <c r="O45" s="439">
        <v>8179</v>
      </c>
      <c r="P45" s="2">
        <v>0</v>
      </c>
      <c r="Q45" s="2">
        <v>0</v>
      </c>
      <c r="R45" s="439">
        <v>8179</v>
      </c>
      <c r="S45" s="439">
        <v>0</v>
      </c>
      <c r="T45" s="453">
        <v>0</v>
      </c>
      <c r="W45" s="662"/>
      <c r="X45" s="662"/>
      <c r="Y45" s="662"/>
      <c r="Z45" s="662"/>
      <c r="AA45" s="662"/>
      <c r="AB45" s="662"/>
      <c r="AC45" s="662"/>
      <c r="AD45" s="671"/>
      <c r="AE45" s="662"/>
      <c r="AF45" s="662"/>
      <c r="AG45" s="662"/>
      <c r="AH45" s="662"/>
      <c r="AI45" s="662"/>
      <c r="AJ45" s="662"/>
      <c r="AK45" s="662"/>
      <c r="AL45" s="662"/>
      <c r="AM45" s="662"/>
      <c r="AN45" s="662"/>
    </row>
    <row r="46" spans="1:40" s="1" customFormat="1">
      <c r="A46" s="440"/>
      <c r="B46" s="531" t="s">
        <v>88</v>
      </c>
      <c r="C46" s="531">
        <v>1.2076705917807491E-3</v>
      </c>
      <c r="D46" s="532">
        <v>0</v>
      </c>
      <c r="E46" s="532">
        <v>1.4252640153722329E-2</v>
      </c>
      <c r="F46" s="532">
        <v>1.1301158270961889E-2</v>
      </c>
      <c r="G46" s="532">
        <v>1.6044153510460788E-3</v>
      </c>
      <c r="H46" s="532">
        <v>0</v>
      </c>
      <c r="I46" s="531">
        <v>8.6297904987193367E-3</v>
      </c>
      <c r="J46" s="531">
        <v>0</v>
      </c>
      <c r="K46" s="532">
        <v>3.79022560666143E-2</v>
      </c>
      <c r="L46" s="532">
        <v>8.2285663610376328E-2</v>
      </c>
      <c r="M46" s="532">
        <v>4.645161290322581E-2</v>
      </c>
      <c r="N46" s="531">
        <v>6.2656559635005132E-2</v>
      </c>
      <c r="O46" s="531">
        <v>9.3084924771811628E-2</v>
      </c>
      <c r="P46" s="532">
        <v>0</v>
      </c>
      <c r="Q46" s="532">
        <v>0</v>
      </c>
      <c r="R46" s="531">
        <v>9.3084924771811628E-2</v>
      </c>
      <c r="S46" s="531">
        <v>0</v>
      </c>
      <c r="T46" s="533">
        <v>0</v>
      </c>
      <c r="W46" s="661">
        <f t="shared" ref="W46:AN46" si="16">IF(C46&gt;0,C46,"—")</f>
        <v>1.2076705917807491E-3</v>
      </c>
      <c r="X46" s="661" t="str">
        <f t="shared" si="16"/>
        <v>—</v>
      </c>
      <c r="Y46" s="661">
        <f t="shared" si="16"/>
        <v>1.4252640153722329E-2</v>
      </c>
      <c r="Z46" s="661">
        <f t="shared" si="16"/>
        <v>1.1301158270961889E-2</v>
      </c>
      <c r="AA46" s="661">
        <f t="shared" si="16"/>
        <v>1.6044153510460788E-3</v>
      </c>
      <c r="AB46" s="661" t="str">
        <f t="shared" si="16"/>
        <v>—</v>
      </c>
      <c r="AC46" s="661">
        <f t="shared" si="16"/>
        <v>8.6297904987193367E-3</v>
      </c>
      <c r="AD46" s="669" t="str">
        <f t="shared" si="16"/>
        <v>—</v>
      </c>
      <c r="AE46" s="661">
        <f t="shared" si="16"/>
        <v>3.79022560666143E-2</v>
      </c>
      <c r="AF46" s="661">
        <f t="shared" si="16"/>
        <v>8.2285663610376328E-2</v>
      </c>
      <c r="AG46" s="661">
        <f t="shared" si="16"/>
        <v>4.645161290322581E-2</v>
      </c>
      <c r="AH46" s="661">
        <f t="shared" si="16"/>
        <v>6.2656559635005132E-2</v>
      </c>
      <c r="AI46" s="661">
        <f t="shared" si="16"/>
        <v>9.3084924771811628E-2</v>
      </c>
      <c r="AJ46" s="661" t="str">
        <f t="shared" si="16"/>
        <v>—</v>
      </c>
      <c r="AK46" s="661" t="str">
        <f t="shared" si="16"/>
        <v>—</v>
      </c>
      <c r="AL46" s="661">
        <f t="shared" si="16"/>
        <v>9.3084924771811628E-2</v>
      </c>
      <c r="AM46" s="661" t="str">
        <f t="shared" si="16"/>
        <v>—</v>
      </c>
      <c r="AN46" s="661" t="str">
        <f t="shared" si="16"/>
        <v>—</v>
      </c>
    </row>
    <row r="47" spans="1:40">
      <c r="A47" s="440"/>
      <c r="B47" s="646" t="s">
        <v>951</v>
      </c>
      <c r="C47" s="649">
        <v>-1.4129147857986084E-4</v>
      </c>
      <c r="D47" s="651" t="e">
        <v>#VALUE!</v>
      </c>
      <c r="E47" s="651">
        <v>4.166640747362154E-3</v>
      </c>
      <c r="F47" s="651">
        <v>2.0462221731499947E-3</v>
      </c>
      <c r="G47" s="651">
        <v>-1.1309507669580391E-4</v>
      </c>
      <c r="H47" s="651" t="e">
        <v>#VALUE!</v>
      </c>
      <c r="I47" s="650">
        <v>2.0686172065541497E-3</v>
      </c>
      <c r="J47" s="650" t="e">
        <v>#VALUE!</v>
      </c>
      <c r="K47" s="651">
        <v>-8.9299895458065312E-3</v>
      </c>
      <c r="L47" s="651">
        <v>-9.0959557452516271E-4</v>
      </c>
      <c r="M47" s="651">
        <v>-3.753347553898119E-3</v>
      </c>
      <c r="N47" s="650">
        <v>-4.1273525950991374E-3</v>
      </c>
      <c r="O47" s="650">
        <v>-2.8329192595168487E-2</v>
      </c>
      <c r="P47" s="651" t="e">
        <v>#VALUE!</v>
      </c>
      <c r="Q47" s="651" t="e">
        <v>#VALUE!</v>
      </c>
      <c r="R47" s="650">
        <v>-2.8329192595168487E-2</v>
      </c>
      <c r="S47" s="650" t="e">
        <v>#VALUE!</v>
      </c>
      <c r="T47" s="652" t="e">
        <v>#VALUE!</v>
      </c>
      <c r="W47" s="664">
        <f t="shared" ref="W47:AN47" si="17">IF(OR((W43="—"),(W46="—")),"—",(W46-W43))</f>
        <v>-1.4129147857986084E-4</v>
      </c>
      <c r="X47" s="664" t="str">
        <f t="shared" si="17"/>
        <v>—</v>
      </c>
      <c r="Y47" s="664">
        <f t="shared" si="17"/>
        <v>4.166640747362154E-3</v>
      </c>
      <c r="Z47" s="664">
        <f t="shared" si="17"/>
        <v>2.0462221731499947E-3</v>
      </c>
      <c r="AA47" s="664">
        <f t="shared" si="17"/>
        <v>-1.1309507669580391E-4</v>
      </c>
      <c r="AB47" s="664" t="str">
        <f t="shared" si="17"/>
        <v>—</v>
      </c>
      <c r="AC47" s="664">
        <f t="shared" si="17"/>
        <v>2.0686172065541497E-3</v>
      </c>
      <c r="AD47" s="672" t="str">
        <f t="shared" si="17"/>
        <v>—</v>
      </c>
      <c r="AE47" s="664">
        <f t="shared" si="17"/>
        <v>-8.9299895458065312E-3</v>
      </c>
      <c r="AF47" s="664">
        <f t="shared" si="17"/>
        <v>-9.0959557452516271E-4</v>
      </c>
      <c r="AG47" s="664">
        <f t="shared" si="17"/>
        <v>-3.753347553898119E-3</v>
      </c>
      <c r="AH47" s="664">
        <f t="shared" si="17"/>
        <v>-4.1273525950991374E-3</v>
      </c>
      <c r="AI47" s="664">
        <f t="shared" si="17"/>
        <v>-2.8329192595168487E-2</v>
      </c>
      <c r="AJ47" s="664" t="str">
        <f t="shared" si="17"/>
        <v>—</v>
      </c>
      <c r="AK47" s="664" t="str">
        <f t="shared" si="17"/>
        <v>—</v>
      </c>
      <c r="AL47" s="664">
        <f t="shared" si="17"/>
        <v>-2.8329192595168487E-2</v>
      </c>
      <c r="AM47" s="664" t="str">
        <f t="shared" si="17"/>
        <v>—</v>
      </c>
      <c r="AN47" s="664" t="str">
        <f t="shared" si="17"/>
        <v>—</v>
      </c>
    </row>
    <row r="48" spans="1:40" s="1" customFormat="1">
      <c r="A48" s="452" t="s">
        <v>903</v>
      </c>
      <c r="B48" s="437" t="s">
        <v>77</v>
      </c>
      <c r="C48" s="441">
        <v>734051</v>
      </c>
      <c r="D48" s="442">
        <v>877540</v>
      </c>
      <c r="E48" s="442">
        <v>800806</v>
      </c>
      <c r="F48" s="442">
        <v>820354</v>
      </c>
      <c r="G48" s="442">
        <v>51998</v>
      </c>
      <c r="H48" s="442">
        <v>0</v>
      </c>
      <c r="I48" s="441">
        <v>3284749</v>
      </c>
      <c r="J48" s="441">
        <v>57778</v>
      </c>
      <c r="K48" s="442">
        <v>267144</v>
      </c>
      <c r="L48" s="442">
        <v>306799</v>
      </c>
      <c r="M48" s="442">
        <v>176728</v>
      </c>
      <c r="N48" s="441">
        <v>808449</v>
      </c>
      <c r="O48" s="441">
        <v>42229</v>
      </c>
      <c r="P48" s="442">
        <v>79836.5</v>
      </c>
      <c r="Q48" s="442">
        <v>485678</v>
      </c>
      <c r="R48" s="441">
        <v>607743.5</v>
      </c>
      <c r="S48" s="441">
        <v>0</v>
      </c>
      <c r="T48" s="455">
        <v>0</v>
      </c>
      <c r="AD48" s="4"/>
    </row>
    <row r="49" spans="1:40">
      <c r="A49" s="440"/>
      <c r="B49" s="32" t="s">
        <v>81</v>
      </c>
      <c r="C49" s="439">
        <v>294</v>
      </c>
      <c r="D49" s="2">
        <v>2693</v>
      </c>
      <c r="E49" s="2">
        <v>6670</v>
      </c>
      <c r="F49" s="2">
        <v>5140</v>
      </c>
      <c r="G49" s="2">
        <v>1038</v>
      </c>
      <c r="H49" s="2">
        <v>0</v>
      </c>
      <c r="I49" s="439">
        <v>15835</v>
      </c>
      <c r="J49" s="439">
        <v>2127</v>
      </c>
      <c r="K49" s="2">
        <v>1015</v>
      </c>
      <c r="L49" s="2">
        <v>6849</v>
      </c>
      <c r="M49" s="2">
        <v>11856</v>
      </c>
      <c r="N49" s="439">
        <v>21847</v>
      </c>
      <c r="O49" s="439">
        <v>987</v>
      </c>
      <c r="P49" s="2">
        <v>744</v>
      </c>
      <c r="Q49" s="2">
        <v>35050</v>
      </c>
      <c r="R49" s="439">
        <v>36781</v>
      </c>
      <c r="S49" s="439">
        <v>0</v>
      </c>
      <c r="T49" s="453">
        <v>0</v>
      </c>
    </row>
    <row r="50" spans="1:40" s="1" customFormat="1">
      <c r="A50" s="440"/>
      <c r="B50" s="515" t="s">
        <v>83</v>
      </c>
      <c r="C50" s="515">
        <v>4.005171302811385E-4</v>
      </c>
      <c r="D50" s="516">
        <v>3.0688059803541719E-3</v>
      </c>
      <c r="E50" s="516">
        <v>8.3291084232635614E-3</v>
      </c>
      <c r="F50" s="516">
        <v>6.2655877828352155E-3</v>
      </c>
      <c r="G50" s="516">
        <v>1.996230624254779E-2</v>
      </c>
      <c r="H50" s="516">
        <v>0</v>
      </c>
      <c r="I50" s="515">
        <v>4.8207640827350887E-3</v>
      </c>
      <c r="J50" s="515">
        <v>3.6813319948769428E-2</v>
      </c>
      <c r="K50" s="516">
        <v>3.7994489863144971E-3</v>
      </c>
      <c r="L50" s="516">
        <v>2.2324062333971103E-2</v>
      </c>
      <c r="M50" s="516">
        <v>6.708614367842107E-2</v>
      </c>
      <c r="N50" s="515">
        <v>2.7023349648524521E-2</v>
      </c>
      <c r="O50" s="515">
        <v>2.3372563877903811E-2</v>
      </c>
      <c r="P50" s="516">
        <v>9.3190457998534506E-3</v>
      </c>
      <c r="Q50" s="516">
        <v>7.2167156016949507E-2</v>
      </c>
      <c r="R50" s="515">
        <v>6.05205979167198E-2</v>
      </c>
      <c r="S50" s="515">
        <v>0</v>
      </c>
      <c r="T50" s="517">
        <v>0</v>
      </c>
      <c r="W50" s="661">
        <f t="shared" ref="W50:AN50" si="18">IF(C50&gt;0,C50,"—")</f>
        <v>4.005171302811385E-4</v>
      </c>
      <c r="X50" s="661">
        <f t="shared" si="18"/>
        <v>3.0688059803541719E-3</v>
      </c>
      <c r="Y50" s="661">
        <f t="shared" si="18"/>
        <v>8.3291084232635614E-3</v>
      </c>
      <c r="Z50" s="661">
        <f t="shared" si="18"/>
        <v>6.2655877828352155E-3</v>
      </c>
      <c r="AA50" s="661">
        <f t="shared" si="18"/>
        <v>1.996230624254779E-2</v>
      </c>
      <c r="AB50" s="661" t="str">
        <f t="shared" si="18"/>
        <v>—</v>
      </c>
      <c r="AC50" s="661">
        <f t="shared" si="18"/>
        <v>4.8207640827350887E-3</v>
      </c>
      <c r="AD50" s="669">
        <f t="shared" si="18"/>
        <v>3.6813319948769428E-2</v>
      </c>
      <c r="AE50" s="661">
        <f t="shared" si="18"/>
        <v>3.7994489863144971E-3</v>
      </c>
      <c r="AF50" s="661">
        <f t="shared" si="18"/>
        <v>2.2324062333971103E-2</v>
      </c>
      <c r="AG50" s="661">
        <f t="shared" si="18"/>
        <v>6.708614367842107E-2</v>
      </c>
      <c r="AH50" s="661">
        <f t="shared" si="18"/>
        <v>2.7023349648524521E-2</v>
      </c>
      <c r="AI50" s="661">
        <f t="shared" si="18"/>
        <v>2.3372563877903811E-2</v>
      </c>
      <c r="AJ50" s="661">
        <f t="shared" si="18"/>
        <v>9.3190457998534506E-3</v>
      </c>
      <c r="AK50" s="661">
        <f t="shared" si="18"/>
        <v>7.2167156016949507E-2</v>
      </c>
      <c r="AL50" s="661">
        <f t="shared" si="18"/>
        <v>6.05205979167198E-2</v>
      </c>
      <c r="AM50" s="661" t="str">
        <f t="shared" si="18"/>
        <v>—</v>
      </c>
      <c r="AN50" s="661" t="str">
        <f t="shared" si="18"/>
        <v>—</v>
      </c>
    </row>
    <row r="51" spans="1:40">
      <c r="A51" s="440"/>
      <c r="B51" s="32" t="s">
        <v>78</v>
      </c>
      <c r="C51" s="439">
        <v>717006</v>
      </c>
      <c r="D51" s="2">
        <v>858001</v>
      </c>
      <c r="E51" s="2">
        <v>773033</v>
      </c>
      <c r="F51" s="2">
        <v>826435</v>
      </c>
      <c r="G51" s="2">
        <v>60291</v>
      </c>
      <c r="H51" s="2">
        <v>0</v>
      </c>
      <c r="I51" s="439">
        <v>3234766</v>
      </c>
      <c r="J51" s="439">
        <v>58126</v>
      </c>
      <c r="K51" s="2">
        <v>290744</v>
      </c>
      <c r="L51" s="2">
        <v>318390</v>
      </c>
      <c r="M51" s="2">
        <v>200412</v>
      </c>
      <c r="N51" s="439">
        <v>867672</v>
      </c>
      <c r="O51" s="439">
        <v>43753</v>
      </c>
      <c r="P51" s="2">
        <v>49324.5</v>
      </c>
      <c r="Q51" s="2">
        <v>511109</v>
      </c>
      <c r="R51" s="439">
        <v>604186.5</v>
      </c>
      <c r="S51" s="439">
        <v>0</v>
      </c>
      <c r="T51" s="453">
        <v>0</v>
      </c>
      <c r="W51" s="120"/>
      <c r="X51" s="120"/>
      <c r="Y51" s="120"/>
      <c r="Z51" s="120"/>
      <c r="AA51" s="120"/>
      <c r="AB51" s="120"/>
      <c r="AC51" s="120"/>
      <c r="AD51" s="670"/>
      <c r="AE51" s="120"/>
      <c r="AF51" s="120"/>
      <c r="AG51" s="120"/>
      <c r="AH51" s="120"/>
      <c r="AI51" s="120"/>
      <c r="AJ51" s="120"/>
      <c r="AK51" s="120"/>
      <c r="AL51" s="120"/>
      <c r="AM51" s="120"/>
      <c r="AN51" s="120"/>
    </row>
    <row r="52" spans="1:40" s="1" customFormat="1">
      <c r="A52" s="440"/>
      <c r="B52" s="32" t="s">
        <v>82</v>
      </c>
      <c r="C52" s="439">
        <v>183</v>
      </c>
      <c r="D52" s="2">
        <v>5553</v>
      </c>
      <c r="E52" s="2">
        <v>11321</v>
      </c>
      <c r="F52" s="2">
        <v>14227</v>
      </c>
      <c r="G52" s="2">
        <v>1103</v>
      </c>
      <c r="H52" s="2">
        <v>0</v>
      </c>
      <c r="I52" s="439">
        <v>32387</v>
      </c>
      <c r="J52" s="439">
        <v>4748</v>
      </c>
      <c r="K52" s="2">
        <v>1562</v>
      </c>
      <c r="L52" s="2">
        <v>8817</v>
      </c>
      <c r="M52" s="2">
        <v>14934</v>
      </c>
      <c r="N52" s="439">
        <v>30061</v>
      </c>
      <c r="O52" s="439">
        <v>859</v>
      </c>
      <c r="P52" s="2">
        <v>1116</v>
      </c>
      <c r="Q52" s="2">
        <v>62615</v>
      </c>
      <c r="R52" s="439">
        <v>64590</v>
      </c>
      <c r="S52" s="439">
        <v>0</v>
      </c>
      <c r="T52" s="453">
        <v>0</v>
      </c>
      <c r="W52" s="662"/>
      <c r="X52" s="662"/>
      <c r="Y52" s="662"/>
      <c r="Z52" s="662"/>
      <c r="AA52" s="662"/>
      <c r="AB52" s="662"/>
      <c r="AC52" s="662"/>
      <c r="AD52" s="671"/>
      <c r="AE52" s="662"/>
      <c r="AF52" s="662"/>
      <c r="AG52" s="662"/>
      <c r="AH52" s="662"/>
      <c r="AI52" s="662"/>
      <c r="AJ52" s="662"/>
      <c r="AK52" s="662"/>
      <c r="AL52" s="662"/>
      <c r="AM52" s="662"/>
      <c r="AN52" s="662"/>
    </row>
    <row r="53" spans="1:40">
      <c r="A53" s="440"/>
      <c r="B53" s="531" t="s">
        <v>88</v>
      </c>
      <c r="C53" s="531">
        <v>2.5522798972393536E-4</v>
      </c>
      <c r="D53" s="532">
        <v>6.4720204288806187E-3</v>
      </c>
      <c r="E53" s="532">
        <v>1.4644911666125509E-2</v>
      </c>
      <c r="F53" s="532">
        <v>1.7214904983453024E-2</v>
      </c>
      <c r="G53" s="532">
        <v>1.8294604501501052E-2</v>
      </c>
      <c r="H53" s="532">
        <v>0</v>
      </c>
      <c r="I53" s="531">
        <v>1.001216162158252E-2</v>
      </c>
      <c r="J53" s="531">
        <v>8.1684616178646391E-2</v>
      </c>
      <c r="K53" s="532">
        <v>5.372423850535179E-3</v>
      </c>
      <c r="L53" s="532">
        <v>2.7692452652407426E-2</v>
      </c>
      <c r="M53" s="532">
        <v>7.4516496018202497E-2</v>
      </c>
      <c r="N53" s="531">
        <v>3.4645580357554467E-2</v>
      </c>
      <c r="O53" s="531">
        <v>1.963293945558019E-2</v>
      </c>
      <c r="P53" s="532">
        <v>2.2625672840069336E-2</v>
      </c>
      <c r="Q53" s="532">
        <v>0.12250811470743031</v>
      </c>
      <c r="R53" s="531">
        <v>0.1069040768040994</v>
      </c>
      <c r="S53" s="531">
        <v>0</v>
      </c>
      <c r="T53" s="533">
        <v>0</v>
      </c>
      <c r="W53" s="661">
        <f t="shared" ref="W53:AN53" si="19">IF(C53&gt;0,C53,"—")</f>
        <v>2.5522798972393536E-4</v>
      </c>
      <c r="X53" s="661">
        <f t="shared" si="19"/>
        <v>6.4720204288806187E-3</v>
      </c>
      <c r="Y53" s="661">
        <f t="shared" si="19"/>
        <v>1.4644911666125509E-2</v>
      </c>
      <c r="Z53" s="661">
        <f t="shared" si="19"/>
        <v>1.7214904983453024E-2</v>
      </c>
      <c r="AA53" s="661">
        <f t="shared" si="19"/>
        <v>1.8294604501501052E-2</v>
      </c>
      <c r="AB53" s="661" t="str">
        <f t="shared" si="19"/>
        <v>—</v>
      </c>
      <c r="AC53" s="661">
        <f t="shared" si="19"/>
        <v>1.001216162158252E-2</v>
      </c>
      <c r="AD53" s="669">
        <f t="shared" si="19"/>
        <v>8.1684616178646391E-2</v>
      </c>
      <c r="AE53" s="661">
        <f t="shared" si="19"/>
        <v>5.372423850535179E-3</v>
      </c>
      <c r="AF53" s="661">
        <f t="shared" si="19"/>
        <v>2.7692452652407426E-2</v>
      </c>
      <c r="AG53" s="661">
        <f t="shared" si="19"/>
        <v>7.4516496018202497E-2</v>
      </c>
      <c r="AH53" s="661">
        <f t="shared" si="19"/>
        <v>3.4645580357554467E-2</v>
      </c>
      <c r="AI53" s="661">
        <f t="shared" si="19"/>
        <v>1.963293945558019E-2</v>
      </c>
      <c r="AJ53" s="661">
        <f t="shared" si="19"/>
        <v>2.2625672840069336E-2</v>
      </c>
      <c r="AK53" s="661">
        <f t="shared" si="19"/>
        <v>0.12250811470743031</v>
      </c>
      <c r="AL53" s="661">
        <f t="shared" si="19"/>
        <v>0.1069040768040994</v>
      </c>
      <c r="AM53" s="661" t="str">
        <f t="shared" si="19"/>
        <v>—</v>
      </c>
      <c r="AN53" s="661" t="str">
        <f t="shared" si="19"/>
        <v>—</v>
      </c>
    </row>
    <row r="54" spans="1:40" s="1" customFormat="1">
      <c r="A54" s="440"/>
      <c r="B54" s="646" t="s">
        <v>951</v>
      </c>
      <c r="C54" s="649">
        <v>-1.4528914055720314E-4</v>
      </c>
      <c r="D54" s="651">
        <v>3.4032144485264468E-3</v>
      </c>
      <c r="E54" s="651">
        <v>6.3158032428619476E-3</v>
      </c>
      <c r="F54" s="651">
        <v>1.0949317200617807E-2</v>
      </c>
      <c r="G54" s="651">
        <v>-1.6677017410467385E-3</v>
      </c>
      <c r="H54" s="651" t="e">
        <v>#VALUE!</v>
      </c>
      <c r="I54" s="650">
        <v>5.1913975388474315E-3</v>
      </c>
      <c r="J54" s="650">
        <v>4.4871296229876963E-2</v>
      </c>
      <c r="K54" s="651">
        <v>1.572974864220682E-3</v>
      </c>
      <c r="L54" s="651">
        <v>5.3683903184363231E-3</v>
      </c>
      <c r="M54" s="651">
        <v>7.4303523397814264E-3</v>
      </c>
      <c r="N54" s="650">
        <v>7.6222307090299465E-3</v>
      </c>
      <c r="O54" s="650">
        <v>-3.7396244223236209E-3</v>
      </c>
      <c r="P54" s="651">
        <v>1.3306627040215886E-2</v>
      </c>
      <c r="Q54" s="651">
        <v>5.0340958690480803E-2</v>
      </c>
      <c r="R54" s="650">
        <v>4.6383478887379599E-2</v>
      </c>
      <c r="S54" s="650" t="e">
        <v>#VALUE!</v>
      </c>
      <c r="T54" s="652" t="e">
        <v>#VALUE!</v>
      </c>
      <c r="W54" s="664">
        <f t="shared" ref="W54:AN54" si="20">IF(OR((W50="—"),(W53="—")),"—",(W53-W50))</f>
        <v>-1.4528914055720314E-4</v>
      </c>
      <c r="X54" s="664">
        <f t="shared" si="20"/>
        <v>3.4032144485264468E-3</v>
      </c>
      <c r="Y54" s="664">
        <f t="shared" si="20"/>
        <v>6.3158032428619476E-3</v>
      </c>
      <c r="Z54" s="664">
        <f t="shared" si="20"/>
        <v>1.0949317200617807E-2</v>
      </c>
      <c r="AA54" s="664">
        <f t="shared" si="20"/>
        <v>-1.6677017410467385E-3</v>
      </c>
      <c r="AB54" s="664" t="str">
        <f t="shared" si="20"/>
        <v>—</v>
      </c>
      <c r="AC54" s="664">
        <f t="shared" si="20"/>
        <v>5.1913975388474315E-3</v>
      </c>
      <c r="AD54" s="672">
        <f t="shared" si="20"/>
        <v>4.4871296229876963E-2</v>
      </c>
      <c r="AE54" s="664">
        <f t="shared" si="20"/>
        <v>1.572974864220682E-3</v>
      </c>
      <c r="AF54" s="664">
        <f t="shared" si="20"/>
        <v>5.3683903184363231E-3</v>
      </c>
      <c r="AG54" s="664">
        <f t="shared" si="20"/>
        <v>7.4303523397814264E-3</v>
      </c>
      <c r="AH54" s="664">
        <f t="shared" si="20"/>
        <v>7.6222307090299465E-3</v>
      </c>
      <c r="AI54" s="664">
        <f t="shared" si="20"/>
        <v>-3.7396244223236209E-3</v>
      </c>
      <c r="AJ54" s="664">
        <f t="shared" si="20"/>
        <v>1.3306627040215886E-2</v>
      </c>
      <c r="AK54" s="664">
        <f t="shared" si="20"/>
        <v>5.0340958690480803E-2</v>
      </c>
      <c r="AL54" s="664">
        <f t="shared" si="20"/>
        <v>4.6383478887379599E-2</v>
      </c>
      <c r="AM54" s="664" t="str">
        <f t="shared" si="20"/>
        <v>—</v>
      </c>
      <c r="AN54" s="664" t="str">
        <f t="shared" si="20"/>
        <v>—</v>
      </c>
    </row>
    <row r="55" spans="1:40">
      <c r="A55" s="452" t="s">
        <v>200</v>
      </c>
      <c r="B55" s="437" t="s">
        <v>77</v>
      </c>
      <c r="C55" s="441">
        <v>0</v>
      </c>
      <c r="D55" s="442">
        <v>0</v>
      </c>
      <c r="E55" s="442">
        <v>0</v>
      </c>
      <c r="F55" s="442">
        <v>0</v>
      </c>
      <c r="G55" s="442">
        <v>0</v>
      </c>
      <c r="H55" s="442">
        <v>0</v>
      </c>
      <c r="I55" s="441">
        <v>0</v>
      </c>
      <c r="J55" s="441">
        <v>0</v>
      </c>
      <c r="K55" s="442">
        <v>0</v>
      </c>
      <c r="L55" s="442">
        <v>0</v>
      </c>
      <c r="M55" s="442">
        <v>0</v>
      </c>
      <c r="N55" s="441">
        <v>0</v>
      </c>
      <c r="O55" s="441">
        <v>0</v>
      </c>
      <c r="P55" s="442">
        <v>0</v>
      </c>
      <c r="Q55" s="442">
        <v>0</v>
      </c>
      <c r="R55" s="441">
        <v>0</v>
      </c>
      <c r="S55" s="441">
        <v>0</v>
      </c>
      <c r="T55" s="455">
        <v>0</v>
      </c>
    </row>
    <row r="56" spans="1:40" s="1" customFormat="1">
      <c r="A56" s="440"/>
      <c r="B56" s="32" t="s">
        <v>81</v>
      </c>
      <c r="C56" s="439">
        <v>0</v>
      </c>
      <c r="D56" s="2">
        <v>0</v>
      </c>
      <c r="E56" s="2">
        <v>0</v>
      </c>
      <c r="F56" s="2">
        <v>0</v>
      </c>
      <c r="G56" s="2">
        <v>0</v>
      </c>
      <c r="H56" s="2">
        <v>0</v>
      </c>
      <c r="I56" s="439">
        <v>0</v>
      </c>
      <c r="J56" s="439">
        <v>0</v>
      </c>
      <c r="K56" s="2">
        <v>0</v>
      </c>
      <c r="L56" s="2">
        <v>0</v>
      </c>
      <c r="M56" s="2">
        <v>0</v>
      </c>
      <c r="N56" s="439">
        <v>0</v>
      </c>
      <c r="O56" s="439">
        <v>0</v>
      </c>
      <c r="P56" s="2">
        <v>0</v>
      </c>
      <c r="Q56" s="2">
        <v>0</v>
      </c>
      <c r="R56" s="439">
        <v>0</v>
      </c>
      <c r="S56" s="439">
        <v>0</v>
      </c>
      <c r="T56" s="453">
        <v>0</v>
      </c>
      <c r="AD56" s="4"/>
    </row>
    <row r="57" spans="1:40">
      <c r="A57" s="440"/>
      <c r="B57" s="515" t="s">
        <v>83</v>
      </c>
      <c r="C57" s="515">
        <v>0</v>
      </c>
      <c r="D57" s="516">
        <v>0</v>
      </c>
      <c r="E57" s="516">
        <v>0</v>
      </c>
      <c r="F57" s="516">
        <v>0</v>
      </c>
      <c r="G57" s="516">
        <v>0</v>
      </c>
      <c r="H57" s="516">
        <v>0</v>
      </c>
      <c r="I57" s="515">
        <v>0</v>
      </c>
      <c r="J57" s="515">
        <v>0</v>
      </c>
      <c r="K57" s="516">
        <v>0</v>
      </c>
      <c r="L57" s="516">
        <v>0</v>
      </c>
      <c r="M57" s="516">
        <v>0</v>
      </c>
      <c r="N57" s="515">
        <v>0</v>
      </c>
      <c r="O57" s="515">
        <v>0</v>
      </c>
      <c r="P57" s="516">
        <v>0</v>
      </c>
      <c r="Q57" s="516">
        <v>0</v>
      </c>
      <c r="R57" s="515">
        <v>0</v>
      </c>
      <c r="S57" s="515">
        <v>0</v>
      </c>
      <c r="T57" s="517">
        <v>0</v>
      </c>
      <c r="W57" s="661" t="str">
        <f t="shared" ref="W57:AN57" si="21">IF(C57&gt;0,C57,"—")</f>
        <v>—</v>
      </c>
      <c r="X57" s="661" t="str">
        <f t="shared" si="21"/>
        <v>—</v>
      </c>
      <c r="Y57" s="661" t="str">
        <f t="shared" si="21"/>
        <v>—</v>
      </c>
      <c r="Z57" s="661" t="str">
        <f t="shared" si="21"/>
        <v>—</v>
      </c>
      <c r="AA57" s="661" t="str">
        <f t="shared" si="21"/>
        <v>—</v>
      </c>
      <c r="AB57" s="661" t="str">
        <f t="shared" si="21"/>
        <v>—</v>
      </c>
      <c r="AC57" s="661" t="str">
        <f t="shared" si="21"/>
        <v>—</v>
      </c>
      <c r="AD57" s="669" t="str">
        <f t="shared" si="21"/>
        <v>—</v>
      </c>
      <c r="AE57" s="661" t="str">
        <f t="shared" si="21"/>
        <v>—</v>
      </c>
      <c r="AF57" s="661" t="str">
        <f t="shared" si="21"/>
        <v>—</v>
      </c>
      <c r="AG57" s="661" t="str">
        <f t="shared" si="21"/>
        <v>—</v>
      </c>
      <c r="AH57" s="661" t="str">
        <f t="shared" si="21"/>
        <v>—</v>
      </c>
      <c r="AI57" s="661" t="str">
        <f t="shared" si="21"/>
        <v>—</v>
      </c>
      <c r="AJ57" s="661" t="str">
        <f t="shared" si="21"/>
        <v>—</v>
      </c>
      <c r="AK57" s="661" t="str">
        <f t="shared" si="21"/>
        <v>—</v>
      </c>
      <c r="AL57" s="661" t="str">
        <f t="shared" si="21"/>
        <v>—</v>
      </c>
      <c r="AM57" s="661" t="str">
        <f t="shared" si="21"/>
        <v>—</v>
      </c>
      <c r="AN57" s="661" t="str">
        <f t="shared" si="21"/>
        <v>—</v>
      </c>
    </row>
    <row r="58" spans="1:40" s="1" customFormat="1">
      <c r="A58" s="440"/>
      <c r="B58" s="32" t="s">
        <v>78</v>
      </c>
      <c r="C58" s="439">
        <v>0</v>
      </c>
      <c r="D58" s="2">
        <v>0</v>
      </c>
      <c r="E58" s="2">
        <v>0</v>
      </c>
      <c r="F58" s="2">
        <v>0</v>
      </c>
      <c r="G58" s="2">
        <v>0</v>
      </c>
      <c r="H58" s="2">
        <v>0</v>
      </c>
      <c r="I58" s="439">
        <v>0</v>
      </c>
      <c r="J58" s="439">
        <v>0</v>
      </c>
      <c r="K58" s="2">
        <v>0</v>
      </c>
      <c r="L58" s="2">
        <v>0</v>
      </c>
      <c r="M58" s="2">
        <v>0</v>
      </c>
      <c r="N58" s="439">
        <v>0</v>
      </c>
      <c r="O58" s="439">
        <v>0</v>
      </c>
      <c r="P58" s="2">
        <v>0</v>
      </c>
      <c r="Q58" s="2">
        <v>0</v>
      </c>
      <c r="R58" s="439">
        <v>0</v>
      </c>
      <c r="S58" s="439">
        <v>0</v>
      </c>
      <c r="T58" s="453">
        <v>0</v>
      </c>
      <c r="W58" s="120"/>
      <c r="X58" s="120"/>
      <c r="Y58" s="120"/>
      <c r="Z58" s="120"/>
      <c r="AA58" s="120"/>
      <c r="AB58" s="120"/>
      <c r="AC58" s="120"/>
      <c r="AD58" s="670"/>
      <c r="AE58" s="120"/>
      <c r="AF58" s="120"/>
      <c r="AG58" s="120"/>
      <c r="AH58" s="120"/>
      <c r="AI58" s="120"/>
      <c r="AJ58" s="120"/>
      <c r="AK58" s="120"/>
      <c r="AL58" s="120"/>
      <c r="AM58" s="120"/>
      <c r="AN58" s="120"/>
    </row>
    <row r="59" spans="1:40">
      <c r="A59" s="440"/>
      <c r="B59" s="32" t="s">
        <v>82</v>
      </c>
      <c r="C59" s="439">
        <v>0</v>
      </c>
      <c r="D59" s="2">
        <v>0</v>
      </c>
      <c r="E59" s="2">
        <v>0</v>
      </c>
      <c r="F59" s="2">
        <v>0</v>
      </c>
      <c r="G59" s="2">
        <v>0</v>
      </c>
      <c r="H59" s="2">
        <v>0</v>
      </c>
      <c r="I59" s="439">
        <v>0</v>
      </c>
      <c r="J59" s="439">
        <v>0</v>
      </c>
      <c r="K59" s="2">
        <v>0</v>
      </c>
      <c r="L59" s="2">
        <v>0</v>
      </c>
      <c r="M59" s="2">
        <v>0</v>
      </c>
      <c r="N59" s="439">
        <v>0</v>
      </c>
      <c r="O59" s="439">
        <v>0</v>
      </c>
      <c r="P59" s="2">
        <v>0</v>
      </c>
      <c r="Q59" s="2">
        <v>0</v>
      </c>
      <c r="R59" s="439">
        <v>0</v>
      </c>
      <c r="S59" s="439">
        <v>0</v>
      </c>
      <c r="T59" s="453">
        <v>0</v>
      </c>
      <c r="W59" s="662"/>
      <c r="X59" s="662"/>
      <c r="Y59" s="662"/>
      <c r="Z59" s="662"/>
      <c r="AA59" s="662"/>
      <c r="AB59" s="662"/>
      <c r="AC59" s="662"/>
      <c r="AD59" s="671"/>
      <c r="AE59" s="662"/>
      <c r="AF59" s="662"/>
      <c r="AG59" s="662"/>
      <c r="AH59" s="662"/>
      <c r="AI59" s="662"/>
      <c r="AJ59" s="662"/>
      <c r="AK59" s="662"/>
      <c r="AL59" s="662"/>
      <c r="AM59" s="662"/>
      <c r="AN59" s="662"/>
    </row>
    <row r="60" spans="1:40" s="1" customFormat="1">
      <c r="A60" s="440"/>
      <c r="B60" s="531" t="s">
        <v>88</v>
      </c>
      <c r="C60" s="531">
        <v>0</v>
      </c>
      <c r="D60" s="532">
        <v>0</v>
      </c>
      <c r="E60" s="532">
        <v>0</v>
      </c>
      <c r="F60" s="532">
        <v>0</v>
      </c>
      <c r="G60" s="532">
        <v>0</v>
      </c>
      <c r="H60" s="532">
        <v>0</v>
      </c>
      <c r="I60" s="531">
        <v>0</v>
      </c>
      <c r="J60" s="531">
        <v>0</v>
      </c>
      <c r="K60" s="532">
        <v>0</v>
      </c>
      <c r="L60" s="532">
        <v>0</v>
      </c>
      <c r="M60" s="532">
        <v>0</v>
      </c>
      <c r="N60" s="531">
        <v>0</v>
      </c>
      <c r="O60" s="531">
        <v>0</v>
      </c>
      <c r="P60" s="532">
        <v>0</v>
      </c>
      <c r="Q60" s="532">
        <v>0</v>
      </c>
      <c r="R60" s="531">
        <v>0</v>
      </c>
      <c r="S60" s="531">
        <v>0</v>
      </c>
      <c r="T60" s="533">
        <v>0</v>
      </c>
      <c r="W60" s="661" t="str">
        <f t="shared" ref="W60:AN60" si="22">IF(C60&gt;0,C60,"—")</f>
        <v>—</v>
      </c>
      <c r="X60" s="661" t="str">
        <f t="shared" si="22"/>
        <v>—</v>
      </c>
      <c r="Y60" s="661" t="str">
        <f t="shared" si="22"/>
        <v>—</v>
      </c>
      <c r="Z60" s="661" t="str">
        <f t="shared" si="22"/>
        <v>—</v>
      </c>
      <c r="AA60" s="661" t="str">
        <f t="shared" si="22"/>
        <v>—</v>
      </c>
      <c r="AB60" s="661" t="str">
        <f t="shared" si="22"/>
        <v>—</v>
      </c>
      <c r="AC60" s="661" t="str">
        <f t="shared" si="22"/>
        <v>—</v>
      </c>
      <c r="AD60" s="669" t="str">
        <f t="shared" si="22"/>
        <v>—</v>
      </c>
      <c r="AE60" s="661" t="str">
        <f t="shared" si="22"/>
        <v>—</v>
      </c>
      <c r="AF60" s="661" t="str">
        <f t="shared" si="22"/>
        <v>—</v>
      </c>
      <c r="AG60" s="661" t="str">
        <f t="shared" si="22"/>
        <v>—</v>
      </c>
      <c r="AH60" s="661" t="str">
        <f t="shared" si="22"/>
        <v>—</v>
      </c>
      <c r="AI60" s="661" t="str">
        <f t="shared" si="22"/>
        <v>—</v>
      </c>
      <c r="AJ60" s="661" t="str">
        <f t="shared" si="22"/>
        <v>—</v>
      </c>
      <c r="AK60" s="661" t="str">
        <f t="shared" si="22"/>
        <v>—</v>
      </c>
      <c r="AL60" s="661" t="str">
        <f t="shared" si="22"/>
        <v>—</v>
      </c>
      <c r="AM60" s="661" t="str">
        <f t="shared" si="22"/>
        <v>—</v>
      </c>
      <c r="AN60" s="661" t="str">
        <f t="shared" si="22"/>
        <v>—</v>
      </c>
    </row>
    <row r="61" spans="1:40">
      <c r="A61" s="440"/>
      <c r="B61" s="646" t="s">
        <v>951</v>
      </c>
      <c r="C61" s="649" t="e">
        <v>#VALUE!</v>
      </c>
      <c r="D61" s="651" t="e">
        <v>#VALUE!</v>
      </c>
      <c r="E61" s="651" t="e">
        <v>#VALUE!</v>
      </c>
      <c r="F61" s="651" t="e">
        <v>#VALUE!</v>
      </c>
      <c r="G61" s="651" t="e">
        <v>#VALUE!</v>
      </c>
      <c r="H61" s="651" t="e">
        <v>#VALUE!</v>
      </c>
      <c r="I61" s="650" t="e">
        <v>#VALUE!</v>
      </c>
      <c r="J61" s="650" t="e">
        <v>#VALUE!</v>
      </c>
      <c r="K61" s="651" t="e">
        <v>#VALUE!</v>
      </c>
      <c r="L61" s="651" t="e">
        <v>#VALUE!</v>
      </c>
      <c r="M61" s="651" t="e">
        <v>#VALUE!</v>
      </c>
      <c r="N61" s="650" t="e">
        <v>#VALUE!</v>
      </c>
      <c r="O61" s="650" t="e">
        <v>#VALUE!</v>
      </c>
      <c r="P61" s="651" t="e">
        <v>#VALUE!</v>
      </c>
      <c r="Q61" s="651" t="e">
        <v>#VALUE!</v>
      </c>
      <c r="R61" s="650" t="e">
        <v>#VALUE!</v>
      </c>
      <c r="S61" s="650" t="e">
        <v>#VALUE!</v>
      </c>
      <c r="T61" s="652" t="e">
        <v>#VALUE!</v>
      </c>
      <c r="W61" s="664" t="str">
        <f t="shared" ref="W61:AN61" si="23">IF(OR((W57="—"),(W60="—")),"—",(W60-W57))</f>
        <v>—</v>
      </c>
      <c r="X61" s="664" t="str">
        <f t="shared" si="23"/>
        <v>—</v>
      </c>
      <c r="Y61" s="664" t="str">
        <f t="shared" si="23"/>
        <v>—</v>
      </c>
      <c r="Z61" s="664" t="str">
        <f t="shared" si="23"/>
        <v>—</v>
      </c>
      <c r="AA61" s="664" t="str">
        <f t="shared" si="23"/>
        <v>—</v>
      </c>
      <c r="AB61" s="664" t="str">
        <f t="shared" si="23"/>
        <v>—</v>
      </c>
      <c r="AC61" s="664" t="str">
        <f t="shared" si="23"/>
        <v>—</v>
      </c>
      <c r="AD61" s="672" t="str">
        <f t="shared" si="23"/>
        <v>—</v>
      </c>
      <c r="AE61" s="664" t="str">
        <f t="shared" si="23"/>
        <v>—</v>
      </c>
      <c r="AF61" s="664" t="str">
        <f t="shared" si="23"/>
        <v>—</v>
      </c>
      <c r="AG61" s="664" t="str">
        <f t="shared" si="23"/>
        <v>—</v>
      </c>
      <c r="AH61" s="664" t="str">
        <f t="shared" si="23"/>
        <v>—</v>
      </c>
      <c r="AI61" s="664" t="str">
        <f t="shared" si="23"/>
        <v>—</v>
      </c>
      <c r="AJ61" s="664" t="str">
        <f t="shared" si="23"/>
        <v>—</v>
      </c>
      <c r="AK61" s="664" t="str">
        <f t="shared" si="23"/>
        <v>—</v>
      </c>
      <c r="AL61" s="664" t="str">
        <f t="shared" si="23"/>
        <v>—</v>
      </c>
      <c r="AM61" s="664" t="str">
        <f t="shared" si="23"/>
        <v>—</v>
      </c>
      <c r="AN61" s="664" t="str">
        <f t="shared" si="23"/>
        <v>—</v>
      </c>
    </row>
    <row r="62" spans="1:40" s="1" customFormat="1">
      <c r="A62" s="452" t="s">
        <v>703</v>
      </c>
      <c r="B62" s="437" t="s">
        <v>77</v>
      </c>
      <c r="C62" s="441">
        <v>0</v>
      </c>
      <c r="D62" s="442">
        <v>0</v>
      </c>
      <c r="E62" s="442">
        <v>0</v>
      </c>
      <c r="F62" s="442">
        <v>0</v>
      </c>
      <c r="G62" s="442">
        <v>0</v>
      </c>
      <c r="H62" s="442">
        <v>0</v>
      </c>
      <c r="I62" s="441">
        <v>0</v>
      </c>
      <c r="J62" s="441">
        <v>0</v>
      </c>
      <c r="K62" s="442">
        <v>0</v>
      </c>
      <c r="L62" s="442">
        <v>0</v>
      </c>
      <c r="M62" s="442">
        <v>0</v>
      </c>
      <c r="N62" s="441">
        <v>0</v>
      </c>
      <c r="O62" s="441">
        <v>0</v>
      </c>
      <c r="P62" s="442">
        <v>0</v>
      </c>
      <c r="Q62" s="442">
        <v>0</v>
      </c>
      <c r="R62" s="441">
        <v>0</v>
      </c>
      <c r="S62" s="441">
        <v>0</v>
      </c>
      <c r="T62" s="455">
        <v>0</v>
      </c>
      <c r="AD62" s="4"/>
    </row>
    <row r="63" spans="1:40">
      <c r="A63" s="440"/>
      <c r="B63" s="32" t="s">
        <v>81</v>
      </c>
      <c r="C63" s="439">
        <v>0</v>
      </c>
      <c r="D63" s="2">
        <v>0</v>
      </c>
      <c r="E63" s="2">
        <v>0</v>
      </c>
      <c r="F63" s="2">
        <v>0</v>
      </c>
      <c r="G63" s="2">
        <v>0</v>
      </c>
      <c r="H63" s="2">
        <v>0</v>
      </c>
      <c r="I63" s="439">
        <v>0</v>
      </c>
      <c r="J63" s="439">
        <v>0</v>
      </c>
      <c r="K63" s="2">
        <v>0</v>
      </c>
      <c r="L63" s="2">
        <v>0</v>
      </c>
      <c r="M63" s="2">
        <v>0</v>
      </c>
      <c r="N63" s="439">
        <v>0</v>
      </c>
      <c r="O63" s="439">
        <v>0</v>
      </c>
      <c r="P63" s="2">
        <v>0</v>
      </c>
      <c r="Q63" s="2">
        <v>0</v>
      </c>
      <c r="R63" s="439">
        <v>0</v>
      </c>
      <c r="S63" s="439">
        <v>0</v>
      </c>
      <c r="T63" s="453">
        <v>0</v>
      </c>
    </row>
    <row r="64" spans="1:40" s="1" customFormat="1">
      <c r="A64" s="440"/>
      <c r="B64" s="515" t="s">
        <v>83</v>
      </c>
      <c r="C64" s="515">
        <v>0</v>
      </c>
      <c r="D64" s="516">
        <v>0</v>
      </c>
      <c r="E64" s="516">
        <v>0</v>
      </c>
      <c r="F64" s="516">
        <v>0</v>
      </c>
      <c r="G64" s="516">
        <v>0</v>
      </c>
      <c r="H64" s="516">
        <v>0</v>
      </c>
      <c r="I64" s="515">
        <v>0</v>
      </c>
      <c r="J64" s="515">
        <v>0</v>
      </c>
      <c r="K64" s="516">
        <v>0</v>
      </c>
      <c r="L64" s="516">
        <v>0</v>
      </c>
      <c r="M64" s="516">
        <v>0</v>
      </c>
      <c r="N64" s="515">
        <v>0</v>
      </c>
      <c r="O64" s="515">
        <v>0</v>
      </c>
      <c r="P64" s="516">
        <v>0</v>
      </c>
      <c r="Q64" s="516">
        <v>0</v>
      </c>
      <c r="R64" s="515">
        <v>0</v>
      </c>
      <c r="S64" s="515">
        <v>0</v>
      </c>
      <c r="T64" s="517">
        <v>0</v>
      </c>
      <c r="W64" s="661" t="str">
        <f t="shared" ref="W64:AN64" si="24">IF(C64&gt;0,C64,"—")</f>
        <v>—</v>
      </c>
      <c r="X64" s="661" t="str">
        <f t="shared" si="24"/>
        <v>—</v>
      </c>
      <c r="Y64" s="661" t="str">
        <f t="shared" si="24"/>
        <v>—</v>
      </c>
      <c r="Z64" s="661" t="str">
        <f t="shared" si="24"/>
        <v>—</v>
      </c>
      <c r="AA64" s="661" t="str">
        <f t="shared" si="24"/>
        <v>—</v>
      </c>
      <c r="AB64" s="661" t="str">
        <f t="shared" si="24"/>
        <v>—</v>
      </c>
      <c r="AC64" s="661" t="str">
        <f t="shared" si="24"/>
        <v>—</v>
      </c>
      <c r="AD64" s="669" t="str">
        <f t="shared" si="24"/>
        <v>—</v>
      </c>
      <c r="AE64" s="661" t="str">
        <f t="shared" si="24"/>
        <v>—</v>
      </c>
      <c r="AF64" s="661" t="str">
        <f t="shared" si="24"/>
        <v>—</v>
      </c>
      <c r="AG64" s="661" t="str">
        <f t="shared" si="24"/>
        <v>—</v>
      </c>
      <c r="AH64" s="661" t="str">
        <f t="shared" si="24"/>
        <v>—</v>
      </c>
      <c r="AI64" s="661" t="str">
        <f t="shared" si="24"/>
        <v>—</v>
      </c>
      <c r="AJ64" s="661" t="str">
        <f t="shared" si="24"/>
        <v>—</v>
      </c>
      <c r="AK64" s="661" t="str">
        <f t="shared" si="24"/>
        <v>—</v>
      </c>
      <c r="AL64" s="661" t="str">
        <f t="shared" si="24"/>
        <v>—</v>
      </c>
      <c r="AM64" s="661" t="str">
        <f t="shared" si="24"/>
        <v>—</v>
      </c>
      <c r="AN64" s="661" t="str">
        <f t="shared" si="24"/>
        <v>—</v>
      </c>
    </row>
    <row r="65" spans="1:40">
      <c r="A65" s="440"/>
      <c r="B65" s="32" t="s">
        <v>78</v>
      </c>
      <c r="C65" s="439">
        <v>0</v>
      </c>
      <c r="D65" s="2">
        <v>0</v>
      </c>
      <c r="E65" s="2">
        <v>0</v>
      </c>
      <c r="F65" s="2">
        <v>0</v>
      </c>
      <c r="G65" s="2">
        <v>0</v>
      </c>
      <c r="H65" s="2">
        <v>0</v>
      </c>
      <c r="I65" s="439">
        <v>0</v>
      </c>
      <c r="J65" s="439">
        <v>0</v>
      </c>
      <c r="K65" s="2">
        <v>640284</v>
      </c>
      <c r="L65" s="2">
        <v>1024168</v>
      </c>
      <c r="M65" s="2">
        <v>93298</v>
      </c>
      <c r="N65" s="439">
        <v>1757750</v>
      </c>
      <c r="O65" s="439">
        <v>0</v>
      </c>
      <c r="P65" s="2">
        <v>0</v>
      </c>
      <c r="Q65" s="2">
        <v>0</v>
      </c>
      <c r="R65" s="439">
        <v>0</v>
      </c>
      <c r="S65" s="439">
        <v>0</v>
      </c>
      <c r="T65" s="453">
        <v>0</v>
      </c>
      <c r="W65" s="120"/>
      <c r="X65" s="120"/>
      <c r="Y65" s="120"/>
      <c r="Z65" s="120"/>
      <c r="AA65" s="120"/>
      <c r="AB65" s="120"/>
      <c r="AC65" s="120"/>
      <c r="AD65" s="670"/>
      <c r="AE65" s="120"/>
      <c r="AF65" s="120"/>
      <c r="AG65" s="120"/>
      <c r="AH65" s="120"/>
      <c r="AI65" s="120"/>
      <c r="AJ65" s="120"/>
      <c r="AK65" s="120"/>
      <c r="AL65" s="120"/>
      <c r="AM65" s="120"/>
      <c r="AN65" s="120"/>
    </row>
    <row r="66" spans="1:40" s="1" customFormat="1">
      <c r="A66" s="440"/>
      <c r="B66" s="32" t="s">
        <v>82</v>
      </c>
      <c r="C66" s="439">
        <v>0</v>
      </c>
      <c r="D66" s="2">
        <v>0</v>
      </c>
      <c r="E66" s="2">
        <v>0</v>
      </c>
      <c r="F66" s="2">
        <v>0</v>
      </c>
      <c r="G66" s="2">
        <v>0</v>
      </c>
      <c r="H66" s="2">
        <v>0</v>
      </c>
      <c r="I66" s="439">
        <v>0</v>
      </c>
      <c r="J66" s="439">
        <v>0</v>
      </c>
      <c r="K66" s="2">
        <v>5115</v>
      </c>
      <c r="L66" s="2">
        <v>7836</v>
      </c>
      <c r="M66" s="2">
        <v>1295</v>
      </c>
      <c r="N66" s="439">
        <v>14246</v>
      </c>
      <c r="O66" s="439">
        <v>0</v>
      </c>
      <c r="P66" s="2">
        <v>0</v>
      </c>
      <c r="Q66" s="2">
        <v>0</v>
      </c>
      <c r="R66" s="439">
        <v>0</v>
      </c>
      <c r="S66" s="439">
        <v>0</v>
      </c>
      <c r="T66" s="453">
        <v>0</v>
      </c>
      <c r="W66" s="662"/>
      <c r="X66" s="662"/>
      <c r="Y66" s="662"/>
      <c r="Z66" s="662"/>
      <c r="AA66" s="662"/>
      <c r="AB66" s="662"/>
      <c r="AC66" s="662"/>
      <c r="AD66" s="671"/>
      <c r="AE66" s="662"/>
      <c r="AF66" s="662"/>
      <c r="AG66" s="662"/>
      <c r="AH66" s="662"/>
      <c r="AI66" s="662"/>
      <c r="AJ66" s="662"/>
      <c r="AK66" s="662"/>
      <c r="AL66" s="662"/>
      <c r="AM66" s="662"/>
      <c r="AN66" s="662"/>
    </row>
    <row r="67" spans="1:40">
      <c r="A67" s="440"/>
      <c r="B67" s="531" t="s">
        <v>88</v>
      </c>
      <c r="C67" s="531">
        <v>0</v>
      </c>
      <c r="D67" s="532">
        <v>0</v>
      </c>
      <c r="E67" s="532">
        <v>0</v>
      </c>
      <c r="F67" s="532">
        <v>0</v>
      </c>
      <c r="G67" s="532">
        <v>0</v>
      </c>
      <c r="H67" s="532">
        <v>0</v>
      </c>
      <c r="I67" s="531">
        <v>0</v>
      </c>
      <c r="J67" s="531">
        <v>0</v>
      </c>
      <c r="K67" s="532">
        <v>7.9886425398729317E-3</v>
      </c>
      <c r="L67" s="532">
        <v>7.6510884932940691E-3</v>
      </c>
      <c r="M67" s="532">
        <v>1.388025466783854E-2</v>
      </c>
      <c r="N67" s="531">
        <v>8.1046792774854218E-3</v>
      </c>
      <c r="O67" s="531">
        <v>0</v>
      </c>
      <c r="P67" s="532">
        <v>0</v>
      </c>
      <c r="Q67" s="532">
        <v>0</v>
      </c>
      <c r="R67" s="531">
        <v>0</v>
      </c>
      <c r="S67" s="531">
        <v>0</v>
      </c>
      <c r="T67" s="533">
        <v>0</v>
      </c>
      <c r="W67" s="661" t="str">
        <f t="shared" ref="W67:AN67" si="25">IF(C67&gt;0,C67,"—")</f>
        <v>—</v>
      </c>
      <c r="X67" s="661" t="str">
        <f t="shared" si="25"/>
        <v>—</v>
      </c>
      <c r="Y67" s="661" t="str">
        <f t="shared" si="25"/>
        <v>—</v>
      </c>
      <c r="Z67" s="661" t="str">
        <f t="shared" si="25"/>
        <v>—</v>
      </c>
      <c r="AA67" s="661" t="str">
        <f t="shared" si="25"/>
        <v>—</v>
      </c>
      <c r="AB67" s="661" t="str">
        <f t="shared" si="25"/>
        <v>—</v>
      </c>
      <c r="AC67" s="661" t="str">
        <f t="shared" si="25"/>
        <v>—</v>
      </c>
      <c r="AD67" s="669" t="str">
        <f t="shared" si="25"/>
        <v>—</v>
      </c>
      <c r="AE67" s="661">
        <f t="shared" si="25"/>
        <v>7.9886425398729317E-3</v>
      </c>
      <c r="AF67" s="661">
        <f t="shared" si="25"/>
        <v>7.6510884932940691E-3</v>
      </c>
      <c r="AG67" s="661">
        <f t="shared" si="25"/>
        <v>1.388025466783854E-2</v>
      </c>
      <c r="AH67" s="661">
        <f t="shared" si="25"/>
        <v>8.1046792774854218E-3</v>
      </c>
      <c r="AI67" s="661" t="str">
        <f t="shared" si="25"/>
        <v>—</v>
      </c>
      <c r="AJ67" s="661" t="str">
        <f t="shared" si="25"/>
        <v>—</v>
      </c>
      <c r="AK67" s="661" t="str">
        <f t="shared" si="25"/>
        <v>—</v>
      </c>
      <c r="AL67" s="661" t="str">
        <f t="shared" si="25"/>
        <v>—</v>
      </c>
      <c r="AM67" s="661" t="str">
        <f t="shared" si="25"/>
        <v>—</v>
      </c>
      <c r="AN67" s="661" t="str">
        <f t="shared" si="25"/>
        <v>—</v>
      </c>
    </row>
    <row r="68" spans="1:40" s="1" customFormat="1">
      <c r="A68" s="440"/>
      <c r="B68" s="646" t="s">
        <v>951</v>
      </c>
      <c r="C68" s="649" t="e">
        <v>#VALUE!</v>
      </c>
      <c r="D68" s="651" t="e">
        <v>#VALUE!</v>
      </c>
      <c r="E68" s="651" t="e">
        <v>#VALUE!</v>
      </c>
      <c r="F68" s="651" t="e">
        <v>#VALUE!</v>
      </c>
      <c r="G68" s="651" t="e">
        <v>#VALUE!</v>
      </c>
      <c r="H68" s="651" t="e">
        <v>#VALUE!</v>
      </c>
      <c r="I68" s="650" t="e">
        <v>#VALUE!</v>
      </c>
      <c r="J68" s="650" t="e">
        <v>#VALUE!</v>
      </c>
      <c r="K68" s="651" t="e">
        <v>#VALUE!</v>
      </c>
      <c r="L68" s="651" t="e">
        <v>#VALUE!</v>
      </c>
      <c r="M68" s="651" t="e">
        <v>#VALUE!</v>
      </c>
      <c r="N68" s="650" t="e">
        <v>#VALUE!</v>
      </c>
      <c r="O68" s="650" t="e">
        <v>#VALUE!</v>
      </c>
      <c r="P68" s="651" t="e">
        <v>#VALUE!</v>
      </c>
      <c r="Q68" s="651" t="e">
        <v>#VALUE!</v>
      </c>
      <c r="R68" s="650" t="e">
        <v>#VALUE!</v>
      </c>
      <c r="S68" s="650" t="e">
        <v>#VALUE!</v>
      </c>
      <c r="T68" s="652" t="e">
        <v>#VALUE!</v>
      </c>
      <c r="W68" s="664" t="str">
        <f t="shared" ref="W68:AN68" si="26">IF(OR((W64="—"),(W67="—")),"—",(W67-W64))</f>
        <v>—</v>
      </c>
      <c r="X68" s="664" t="str">
        <f t="shared" si="26"/>
        <v>—</v>
      </c>
      <c r="Y68" s="664" t="str">
        <f t="shared" si="26"/>
        <v>—</v>
      </c>
      <c r="Z68" s="664" t="str">
        <f t="shared" si="26"/>
        <v>—</v>
      </c>
      <c r="AA68" s="664" t="str">
        <f t="shared" si="26"/>
        <v>—</v>
      </c>
      <c r="AB68" s="664" t="str">
        <f t="shared" si="26"/>
        <v>—</v>
      </c>
      <c r="AC68" s="664" t="str">
        <f t="shared" si="26"/>
        <v>—</v>
      </c>
      <c r="AD68" s="672" t="str">
        <f t="shared" si="26"/>
        <v>—</v>
      </c>
      <c r="AE68" s="664" t="str">
        <f t="shared" si="26"/>
        <v>—</v>
      </c>
      <c r="AF68" s="664" t="str">
        <f t="shared" si="26"/>
        <v>—</v>
      </c>
      <c r="AG68" s="664" t="str">
        <f t="shared" si="26"/>
        <v>—</v>
      </c>
      <c r="AH68" s="664" t="str">
        <f t="shared" si="26"/>
        <v>—</v>
      </c>
      <c r="AI68" s="664" t="str">
        <f t="shared" si="26"/>
        <v>—</v>
      </c>
      <c r="AJ68" s="664" t="str">
        <f t="shared" si="26"/>
        <v>—</v>
      </c>
      <c r="AK68" s="664" t="str">
        <f t="shared" si="26"/>
        <v>—</v>
      </c>
      <c r="AL68" s="664" t="str">
        <f t="shared" si="26"/>
        <v>—</v>
      </c>
      <c r="AM68" s="664" t="str">
        <f t="shared" si="26"/>
        <v>—</v>
      </c>
      <c r="AN68" s="664" t="str">
        <f t="shared" si="26"/>
        <v>—</v>
      </c>
    </row>
    <row r="69" spans="1:40">
      <c r="A69" s="452" t="s">
        <v>596</v>
      </c>
      <c r="B69" s="437" t="s">
        <v>77</v>
      </c>
      <c r="C69" s="441">
        <v>1161988</v>
      </c>
      <c r="D69" s="442">
        <v>843210</v>
      </c>
      <c r="E69" s="442">
        <v>1927229</v>
      </c>
      <c r="F69" s="442">
        <v>173557</v>
      </c>
      <c r="G69" s="442">
        <v>297654</v>
      </c>
      <c r="H69" s="442">
        <v>180378</v>
      </c>
      <c r="I69" s="441">
        <v>4584016</v>
      </c>
      <c r="J69" s="441">
        <v>0</v>
      </c>
      <c r="K69" s="442">
        <v>2985491.0999999996</v>
      </c>
      <c r="L69" s="442">
        <v>3117357.8999999994</v>
      </c>
      <c r="M69" s="442">
        <v>543287.70000000007</v>
      </c>
      <c r="N69" s="441">
        <v>6646136.6999999993</v>
      </c>
      <c r="O69" s="441">
        <v>0</v>
      </c>
      <c r="P69" s="442">
        <v>0</v>
      </c>
      <c r="Q69" s="442">
        <v>0</v>
      </c>
      <c r="R69" s="441">
        <v>0</v>
      </c>
      <c r="S69" s="441">
        <v>0</v>
      </c>
      <c r="T69" s="455">
        <v>0</v>
      </c>
    </row>
    <row r="70" spans="1:40" s="1" customFormat="1">
      <c r="A70" s="440"/>
      <c r="B70" s="32" t="s">
        <v>81</v>
      </c>
      <c r="C70" s="439">
        <v>0</v>
      </c>
      <c r="D70" s="2">
        <v>4144</v>
      </c>
      <c r="E70" s="2">
        <v>2598</v>
      </c>
      <c r="F70" s="2">
        <v>614</v>
      </c>
      <c r="G70" s="2">
        <v>0</v>
      </c>
      <c r="H70" s="2">
        <v>0</v>
      </c>
      <c r="I70" s="439">
        <v>7356</v>
      </c>
      <c r="J70" s="439">
        <v>0</v>
      </c>
      <c r="K70" s="2">
        <v>67995.000000000015</v>
      </c>
      <c r="L70" s="2">
        <v>157988.1</v>
      </c>
      <c r="M70" s="2">
        <v>23790.300000000003</v>
      </c>
      <c r="N70" s="439">
        <v>249773.4</v>
      </c>
      <c r="O70" s="439">
        <v>0</v>
      </c>
      <c r="P70" s="2">
        <v>0</v>
      </c>
      <c r="Q70" s="2">
        <v>0</v>
      </c>
      <c r="R70" s="439">
        <v>0</v>
      </c>
      <c r="S70" s="439">
        <v>0</v>
      </c>
      <c r="T70" s="453">
        <v>0</v>
      </c>
      <c r="AD70" s="4"/>
    </row>
    <row r="71" spans="1:40">
      <c r="A71" s="440"/>
      <c r="B71" s="515" t="s">
        <v>83</v>
      </c>
      <c r="C71" s="515">
        <v>0</v>
      </c>
      <c r="D71" s="516">
        <v>4.9145527211489426E-3</v>
      </c>
      <c r="E71" s="516">
        <v>1.348049453386183E-3</v>
      </c>
      <c r="F71" s="516">
        <v>3.5377426436271659E-3</v>
      </c>
      <c r="G71" s="516">
        <v>0</v>
      </c>
      <c r="H71" s="516">
        <v>0</v>
      </c>
      <c r="I71" s="515">
        <v>1.6047064408152153E-3</v>
      </c>
      <c r="J71" s="515">
        <v>0</v>
      </c>
      <c r="K71" s="516">
        <v>2.2775147445591119E-2</v>
      </c>
      <c r="L71" s="516">
        <v>5.06801288360249E-2</v>
      </c>
      <c r="M71" s="516">
        <v>4.3789506002068518E-2</v>
      </c>
      <c r="N71" s="515">
        <v>3.7581742789010046E-2</v>
      </c>
      <c r="O71" s="515">
        <v>0</v>
      </c>
      <c r="P71" s="516">
        <v>0</v>
      </c>
      <c r="Q71" s="516">
        <v>0</v>
      </c>
      <c r="R71" s="515">
        <v>0</v>
      </c>
      <c r="S71" s="515">
        <v>0</v>
      </c>
      <c r="T71" s="517">
        <v>0</v>
      </c>
      <c r="W71" s="661" t="str">
        <f t="shared" ref="W71:AN71" si="27">IF(C71&gt;0,C71,"—")</f>
        <v>—</v>
      </c>
      <c r="X71" s="661">
        <f t="shared" si="27"/>
        <v>4.9145527211489426E-3</v>
      </c>
      <c r="Y71" s="661">
        <f t="shared" si="27"/>
        <v>1.348049453386183E-3</v>
      </c>
      <c r="Z71" s="661">
        <f t="shared" si="27"/>
        <v>3.5377426436271659E-3</v>
      </c>
      <c r="AA71" s="661" t="str">
        <f t="shared" si="27"/>
        <v>—</v>
      </c>
      <c r="AB71" s="661" t="str">
        <f t="shared" si="27"/>
        <v>—</v>
      </c>
      <c r="AC71" s="661">
        <f t="shared" si="27"/>
        <v>1.6047064408152153E-3</v>
      </c>
      <c r="AD71" s="669" t="str">
        <f t="shared" si="27"/>
        <v>—</v>
      </c>
      <c r="AE71" s="661">
        <f t="shared" si="27"/>
        <v>2.2775147445591119E-2</v>
      </c>
      <c r="AF71" s="661">
        <f t="shared" si="27"/>
        <v>5.06801288360249E-2</v>
      </c>
      <c r="AG71" s="661">
        <f t="shared" si="27"/>
        <v>4.3789506002068518E-2</v>
      </c>
      <c r="AH71" s="661">
        <f t="shared" si="27"/>
        <v>3.7581742789010046E-2</v>
      </c>
      <c r="AI71" s="661" t="str">
        <f t="shared" si="27"/>
        <v>—</v>
      </c>
      <c r="AJ71" s="661" t="str">
        <f t="shared" si="27"/>
        <v>—</v>
      </c>
      <c r="AK71" s="661" t="str">
        <f t="shared" si="27"/>
        <v>—</v>
      </c>
      <c r="AL71" s="661" t="str">
        <f t="shared" si="27"/>
        <v>—</v>
      </c>
      <c r="AM71" s="661" t="str">
        <f t="shared" si="27"/>
        <v>—</v>
      </c>
      <c r="AN71" s="661" t="str">
        <f t="shared" si="27"/>
        <v>—</v>
      </c>
    </row>
    <row r="72" spans="1:40" s="1" customFormat="1">
      <c r="A72" s="440"/>
      <c r="B72" s="32" t="s">
        <v>78</v>
      </c>
      <c r="C72" s="439">
        <v>1191348</v>
      </c>
      <c r="D72" s="2">
        <v>891523</v>
      </c>
      <c r="E72" s="2">
        <v>1967477</v>
      </c>
      <c r="F72" s="2">
        <v>167410</v>
      </c>
      <c r="G72" s="2">
        <v>314725</v>
      </c>
      <c r="H72" s="2">
        <v>182142</v>
      </c>
      <c r="I72" s="439">
        <v>4714625</v>
      </c>
      <c r="J72" s="439">
        <v>0</v>
      </c>
      <c r="K72" s="2">
        <v>3162660</v>
      </c>
      <c r="L72" s="2">
        <v>3233940</v>
      </c>
      <c r="M72" s="2">
        <v>555510</v>
      </c>
      <c r="N72" s="439">
        <v>6952110</v>
      </c>
      <c r="O72" s="439">
        <v>0</v>
      </c>
      <c r="P72" s="2">
        <v>0</v>
      </c>
      <c r="Q72" s="2">
        <v>0</v>
      </c>
      <c r="R72" s="439">
        <v>0</v>
      </c>
      <c r="S72" s="439">
        <v>0</v>
      </c>
      <c r="T72" s="453">
        <v>0</v>
      </c>
      <c r="W72" s="120"/>
      <c r="X72" s="120"/>
      <c r="Y72" s="120"/>
      <c r="Z72" s="120"/>
      <c r="AA72" s="120"/>
      <c r="AB72" s="120"/>
      <c r="AC72" s="120"/>
      <c r="AD72" s="670"/>
      <c r="AE72" s="120"/>
      <c r="AF72" s="120"/>
      <c r="AG72" s="120"/>
      <c r="AH72" s="120"/>
      <c r="AI72" s="120"/>
      <c r="AJ72" s="120"/>
      <c r="AK72" s="120"/>
      <c r="AL72" s="120"/>
      <c r="AM72" s="120"/>
      <c r="AN72" s="120"/>
    </row>
    <row r="73" spans="1:40">
      <c r="A73" s="440"/>
      <c r="B73" s="32" t="s">
        <v>82</v>
      </c>
      <c r="C73" s="439">
        <v>0</v>
      </c>
      <c r="D73" s="2">
        <v>12546</v>
      </c>
      <c r="E73" s="2">
        <v>5067</v>
      </c>
      <c r="F73" s="2">
        <v>1605</v>
      </c>
      <c r="G73" s="2">
        <v>0</v>
      </c>
      <c r="H73" s="2">
        <v>0</v>
      </c>
      <c r="I73" s="439">
        <v>19218</v>
      </c>
      <c r="J73" s="439">
        <v>0</v>
      </c>
      <c r="K73" s="2">
        <v>79934.400000000009</v>
      </c>
      <c r="L73" s="2">
        <v>178046.99999999997</v>
      </c>
      <c r="M73" s="2">
        <v>24774.9</v>
      </c>
      <c r="N73" s="439">
        <v>282756.3</v>
      </c>
      <c r="O73" s="439">
        <v>0</v>
      </c>
      <c r="P73" s="2">
        <v>0</v>
      </c>
      <c r="Q73" s="2">
        <v>0</v>
      </c>
      <c r="R73" s="439">
        <v>0</v>
      </c>
      <c r="S73" s="439">
        <v>0</v>
      </c>
      <c r="T73" s="453">
        <v>0</v>
      </c>
      <c r="W73" s="662"/>
      <c r="X73" s="662"/>
      <c r="Y73" s="662"/>
      <c r="Z73" s="662"/>
      <c r="AA73" s="662"/>
      <c r="AB73" s="662"/>
      <c r="AC73" s="662"/>
      <c r="AD73" s="671"/>
      <c r="AE73" s="662"/>
      <c r="AF73" s="662"/>
      <c r="AG73" s="662"/>
      <c r="AH73" s="662"/>
      <c r="AI73" s="662"/>
      <c r="AJ73" s="662"/>
      <c r="AK73" s="662"/>
      <c r="AL73" s="662"/>
      <c r="AM73" s="662"/>
      <c r="AN73" s="662"/>
    </row>
    <row r="74" spans="1:40" s="1" customFormat="1">
      <c r="A74" s="440"/>
      <c r="B74" s="531" t="s">
        <v>88</v>
      </c>
      <c r="C74" s="531">
        <v>0</v>
      </c>
      <c r="D74" s="532">
        <v>1.4072547763770536E-2</v>
      </c>
      <c r="E74" s="532">
        <v>2.57537953429697E-3</v>
      </c>
      <c r="F74" s="532">
        <v>9.5872409055611976E-3</v>
      </c>
      <c r="G74" s="532">
        <v>0</v>
      </c>
      <c r="H74" s="532">
        <v>0</v>
      </c>
      <c r="I74" s="531">
        <v>4.076252087917915E-3</v>
      </c>
      <c r="J74" s="531">
        <v>0</v>
      </c>
      <c r="K74" s="532">
        <v>2.5274420898863618E-2</v>
      </c>
      <c r="L74" s="532">
        <v>5.5055752425833493E-2</v>
      </c>
      <c r="M74" s="532">
        <v>4.4598477075120165E-2</v>
      </c>
      <c r="N74" s="531">
        <v>4.0672011806487524E-2</v>
      </c>
      <c r="O74" s="531">
        <v>0</v>
      </c>
      <c r="P74" s="532">
        <v>0</v>
      </c>
      <c r="Q74" s="532">
        <v>0</v>
      </c>
      <c r="R74" s="531">
        <v>0</v>
      </c>
      <c r="S74" s="531">
        <v>0</v>
      </c>
      <c r="T74" s="533">
        <v>0</v>
      </c>
      <c r="W74" s="661" t="str">
        <f t="shared" ref="W74:AN74" si="28">IF(C74&gt;0,C74,"—")</f>
        <v>—</v>
      </c>
      <c r="X74" s="661">
        <f t="shared" si="28"/>
        <v>1.4072547763770536E-2</v>
      </c>
      <c r="Y74" s="661">
        <f t="shared" si="28"/>
        <v>2.57537953429697E-3</v>
      </c>
      <c r="Z74" s="661">
        <f t="shared" si="28"/>
        <v>9.5872409055611976E-3</v>
      </c>
      <c r="AA74" s="661" t="str">
        <f t="shared" si="28"/>
        <v>—</v>
      </c>
      <c r="AB74" s="661" t="str">
        <f t="shared" si="28"/>
        <v>—</v>
      </c>
      <c r="AC74" s="661">
        <f t="shared" si="28"/>
        <v>4.076252087917915E-3</v>
      </c>
      <c r="AD74" s="669" t="str">
        <f t="shared" si="28"/>
        <v>—</v>
      </c>
      <c r="AE74" s="661">
        <f t="shared" si="28"/>
        <v>2.5274420898863618E-2</v>
      </c>
      <c r="AF74" s="661">
        <f t="shared" si="28"/>
        <v>5.5055752425833493E-2</v>
      </c>
      <c r="AG74" s="661">
        <f t="shared" si="28"/>
        <v>4.4598477075120165E-2</v>
      </c>
      <c r="AH74" s="661">
        <f t="shared" si="28"/>
        <v>4.0672011806487524E-2</v>
      </c>
      <c r="AI74" s="661" t="str">
        <f t="shared" si="28"/>
        <v>—</v>
      </c>
      <c r="AJ74" s="661" t="str">
        <f t="shared" si="28"/>
        <v>—</v>
      </c>
      <c r="AK74" s="661" t="str">
        <f t="shared" si="28"/>
        <v>—</v>
      </c>
      <c r="AL74" s="661" t="str">
        <f t="shared" si="28"/>
        <v>—</v>
      </c>
      <c r="AM74" s="661" t="str">
        <f t="shared" si="28"/>
        <v>—</v>
      </c>
      <c r="AN74" s="661" t="str">
        <f t="shared" si="28"/>
        <v>—</v>
      </c>
    </row>
    <row r="75" spans="1:40">
      <c r="A75" s="440"/>
      <c r="B75" s="646" t="s">
        <v>951</v>
      </c>
      <c r="C75" s="649" t="e">
        <v>#VALUE!</v>
      </c>
      <c r="D75" s="651">
        <v>9.1579950426215924E-3</v>
      </c>
      <c r="E75" s="651">
        <v>1.227330080910787E-3</v>
      </c>
      <c r="F75" s="651">
        <v>6.0494982619340321E-3</v>
      </c>
      <c r="G75" s="651" t="e">
        <v>#VALUE!</v>
      </c>
      <c r="H75" s="651" t="e">
        <v>#VALUE!</v>
      </c>
      <c r="I75" s="650">
        <v>2.4715456471026999E-3</v>
      </c>
      <c r="J75" s="650" t="e">
        <v>#VALUE!</v>
      </c>
      <c r="K75" s="651">
        <v>2.4992734532724992E-3</v>
      </c>
      <c r="L75" s="651">
        <v>4.375623589808593E-3</v>
      </c>
      <c r="M75" s="651">
        <v>8.0897107305164667E-4</v>
      </c>
      <c r="N75" s="650">
        <v>3.0902690174774775E-3</v>
      </c>
      <c r="O75" s="650" t="e">
        <v>#VALUE!</v>
      </c>
      <c r="P75" s="651" t="e">
        <v>#VALUE!</v>
      </c>
      <c r="Q75" s="651" t="e">
        <v>#VALUE!</v>
      </c>
      <c r="R75" s="650" t="e">
        <v>#VALUE!</v>
      </c>
      <c r="S75" s="650" t="e">
        <v>#VALUE!</v>
      </c>
      <c r="T75" s="652" t="e">
        <v>#VALUE!</v>
      </c>
      <c r="W75" s="664" t="str">
        <f t="shared" ref="W75:AN75" si="29">IF(OR((W71="—"),(W74="—")),"—",(W74-W71))</f>
        <v>—</v>
      </c>
      <c r="X75" s="664">
        <f t="shared" si="29"/>
        <v>9.1579950426215924E-3</v>
      </c>
      <c r="Y75" s="664">
        <f t="shared" si="29"/>
        <v>1.227330080910787E-3</v>
      </c>
      <c r="Z75" s="664">
        <f t="shared" si="29"/>
        <v>6.0494982619340321E-3</v>
      </c>
      <c r="AA75" s="664" t="str">
        <f t="shared" si="29"/>
        <v>—</v>
      </c>
      <c r="AB75" s="664" t="str">
        <f t="shared" si="29"/>
        <v>—</v>
      </c>
      <c r="AC75" s="664">
        <f t="shared" si="29"/>
        <v>2.4715456471026999E-3</v>
      </c>
      <c r="AD75" s="672" t="str">
        <f t="shared" si="29"/>
        <v>—</v>
      </c>
      <c r="AE75" s="664">
        <f t="shared" si="29"/>
        <v>2.4992734532724992E-3</v>
      </c>
      <c r="AF75" s="664">
        <f t="shared" si="29"/>
        <v>4.375623589808593E-3</v>
      </c>
      <c r="AG75" s="664">
        <f t="shared" si="29"/>
        <v>8.0897107305164667E-4</v>
      </c>
      <c r="AH75" s="664">
        <f t="shared" si="29"/>
        <v>3.0902690174774775E-3</v>
      </c>
      <c r="AI75" s="664" t="str">
        <f t="shared" si="29"/>
        <v>—</v>
      </c>
      <c r="AJ75" s="664" t="str">
        <f t="shared" si="29"/>
        <v>—</v>
      </c>
      <c r="AK75" s="664" t="str">
        <f t="shared" si="29"/>
        <v>—</v>
      </c>
      <c r="AL75" s="664" t="str">
        <f t="shared" si="29"/>
        <v>—</v>
      </c>
      <c r="AM75" s="664" t="str">
        <f t="shared" si="29"/>
        <v>—</v>
      </c>
      <c r="AN75" s="664" t="str">
        <f t="shared" si="29"/>
        <v>—</v>
      </c>
    </row>
    <row r="76" spans="1:40" s="1" customFormat="1">
      <c r="A76" s="452" t="s">
        <v>724</v>
      </c>
      <c r="B76" s="437" t="s">
        <v>77</v>
      </c>
      <c r="C76" s="441">
        <v>1069859</v>
      </c>
      <c r="D76" s="442">
        <v>0</v>
      </c>
      <c r="E76" s="442">
        <v>531558</v>
      </c>
      <c r="F76" s="442">
        <v>0</v>
      </c>
      <c r="G76" s="442">
        <v>540680</v>
      </c>
      <c r="H76" s="442">
        <v>148934</v>
      </c>
      <c r="I76" s="441">
        <v>2291031</v>
      </c>
      <c r="J76" s="441">
        <v>80089</v>
      </c>
      <c r="K76" s="442">
        <v>559636</v>
      </c>
      <c r="L76" s="442">
        <v>361939</v>
      </c>
      <c r="M76" s="442">
        <v>354803</v>
      </c>
      <c r="N76" s="441">
        <v>1356467</v>
      </c>
      <c r="O76" s="441">
        <v>0</v>
      </c>
      <c r="P76" s="442">
        <v>0</v>
      </c>
      <c r="Q76" s="442">
        <v>0</v>
      </c>
      <c r="R76" s="441">
        <v>0</v>
      </c>
      <c r="S76" s="441">
        <v>0</v>
      </c>
      <c r="T76" s="455">
        <v>0</v>
      </c>
      <c r="AD76" s="4"/>
    </row>
    <row r="77" spans="1:40">
      <c r="A77" s="440"/>
      <c r="B77" s="32" t="s">
        <v>81</v>
      </c>
      <c r="C77" s="439">
        <v>1112</v>
      </c>
      <c r="D77" s="2">
        <v>0</v>
      </c>
      <c r="E77" s="2">
        <v>3165</v>
      </c>
      <c r="F77" s="2">
        <v>0</v>
      </c>
      <c r="G77" s="2">
        <v>4926</v>
      </c>
      <c r="H77" s="2">
        <v>2731</v>
      </c>
      <c r="I77" s="439">
        <v>11934</v>
      </c>
      <c r="J77" s="439">
        <v>1232</v>
      </c>
      <c r="K77" s="2">
        <v>9792</v>
      </c>
      <c r="L77" s="2">
        <v>8855</v>
      </c>
      <c r="M77" s="2">
        <v>14374</v>
      </c>
      <c r="N77" s="439">
        <v>34253</v>
      </c>
      <c r="O77" s="439">
        <v>0</v>
      </c>
      <c r="P77" s="2">
        <v>0</v>
      </c>
      <c r="Q77" s="2">
        <v>0</v>
      </c>
      <c r="R77" s="439">
        <v>0</v>
      </c>
      <c r="S77" s="439">
        <v>0</v>
      </c>
      <c r="T77" s="453">
        <v>0</v>
      </c>
    </row>
    <row r="78" spans="1:40" s="1" customFormat="1">
      <c r="A78" s="440"/>
      <c r="B78" s="515" t="s">
        <v>83</v>
      </c>
      <c r="C78" s="515">
        <v>1.0393893027025056E-3</v>
      </c>
      <c r="D78" s="516">
        <v>0</v>
      </c>
      <c r="E78" s="516">
        <v>5.9541950266951112E-3</v>
      </c>
      <c r="F78" s="516">
        <v>0</v>
      </c>
      <c r="G78" s="516">
        <v>9.1107494266479249E-3</v>
      </c>
      <c r="H78" s="516">
        <v>1.8336981481730161E-2</v>
      </c>
      <c r="I78" s="515">
        <v>5.2090085206180099E-3</v>
      </c>
      <c r="J78" s="515">
        <v>1.5382886538725668E-2</v>
      </c>
      <c r="K78" s="516">
        <v>1.7497087392519425E-2</v>
      </c>
      <c r="L78" s="516">
        <v>2.4465448597691876E-2</v>
      </c>
      <c r="M78" s="516">
        <v>4.0512622497554981E-2</v>
      </c>
      <c r="N78" s="515">
        <v>2.525162794229421E-2</v>
      </c>
      <c r="O78" s="515">
        <v>0</v>
      </c>
      <c r="P78" s="516">
        <v>0</v>
      </c>
      <c r="Q78" s="516">
        <v>0</v>
      </c>
      <c r="R78" s="515">
        <v>0</v>
      </c>
      <c r="S78" s="515">
        <v>0</v>
      </c>
      <c r="T78" s="517">
        <v>0</v>
      </c>
      <c r="W78" s="661">
        <f t="shared" ref="W78:AN78" si="30">IF(C78&gt;0,C78,"—")</f>
        <v>1.0393893027025056E-3</v>
      </c>
      <c r="X78" s="661" t="str">
        <f t="shared" si="30"/>
        <v>—</v>
      </c>
      <c r="Y78" s="661">
        <f t="shared" si="30"/>
        <v>5.9541950266951112E-3</v>
      </c>
      <c r="Z78" s="661" t="str">
        <f t="shared" si="30"/>
        <v>—</v>
      </c>
      <c r="AA78" s="661">
        <f t="shared" si="30"/>
        <v>9.1107494266479249E-3</v>
      </c>
      <c r="AB78" s="661">
        <f t="shared" si="30"/>
        <v>1.8336981481730161E-2</v>
      </c>
      <c r="AC78" s="661">
        <f t="shared" si="30"/>
        <v>5.2090085206180099E-3</v>
      </c>
      <c r="AD78" s="669">
        <f t="shared" si="30"/>
        <v>1.5382886538725668E-2</v>
      </c>
      <c r="AE78" s="661">
        <f t="shared" si="30"/>
        <v>1.7497087392519425E-2</v>
      </c>
      <c r="AF78" s="661">
        <f t="shared" si="30"/>
        <v>2.4465448597691876E-2</v>
      </c>
      <c r="AG78" s="661">
        <f t="shared" si="30"/>
        <v>4.0512622497554981E-2</v>
      </c>
      <c r="AH78" s="661">
        <f t="shared" si="30"/>
        <v>2.525162794229421E-2</v>
      </c>
      <c r="AI78" s="661" t="str">
        <f t="shared" si="30"/>
        <v>—</v>
      </c>
      <c r="AJ78" s="661" t="str">
        <f t="shared" si="30"/>
        <v>—</v>
      </c>
      <c r="AK78" s="661" t="str">
        <f t="shared" si="30"/>
        <v>—</v>
      </c>
      <c r="AL78" s="661" t="str">
        <f t="shared" si="30"/>
        <v>—</v>
      </c>
      <c r="AM78" s="661" t="str">
        <f t="shared" si="30"/>
        <v>—</v>
      </c>
      <c r="AN78" s="661" t="str">
        <f t="shared" si="30"/>
        <v>—</v>
      </c>
    </row>
    <row r="79" spans="1:40">
      <c r="A79" s="440"/>
      <c r="B79" s="32" t="s">
        <v>78</v>
      </c>
      <c r="C79" s="439">
        <v>1063449</v>
      </c>
      <c r="D79" s="2">
        <v>0</v>
      </c>
      <c r="E79" s="2">
        <v>506376</v>
      </c>
      <c r="F79" s="2">
        <v>0</v>
      </c>
      <c r="G79" s="2">
        <v>528667</v>
      </c>
      <c r="H79" s="2">
        <v>149110</v>
      </c>
      <c r="I79" s="439">
        <v>2247602</v>
      </c>
      <c r="J79" s="439">
        <v>88068</v>
      </c>
      <c r="K79" s="2">
        <v>579241</v>
      </c>
      <c r="L79" s="2">
        <v>357332</v>
      </c>
      <c r="M79" s="2">
        <v>362223</v>
      </c>
      <c r="N79" s="439">
        <v>1386864</v>
      </c>
      <c r="O79" s="439">
        <v>0</v>
      </c>
      <c r="P79" s="2">
        <v>0</v>
      </c>
      <c r="Q79" s="2">
        <v>0</v>
      </c>
      <c r="R79" s="439">
        <v>0</v>
      </c>
      <c r="S79" s="439">
        <v>0</v>
      </c>
      <c r="T79" s="453">
        <v>0</v>
      </c>
      <c r="W79" s="120"/>
      <c r="X79" s="120"/>
      <c r="Y79" s="120"/>
      <c r="Z79" s="120"/>
      <c r="AA79" s="120"/>
      <c r="AB79" s="120"/>
      <c r="AC79" s="120"/>
      <c r="AD79" s="670"/>
      <c r="AE79" s="120"/>
      <c r="AF79" s="120"/>
      <c r="AG79" s="120"/>
      <c r="AH79" s="120"/>
      <c r="AI79" s="120"/>
      <c r="AJ79" s="120"/>
      <c r="AK79" s="120"/>
      <c r="AL79" s="120"/>
      <c r="AM79" s="120"/>
      <c r="AN79" s="120"/>
    </row>
    <row r="80" spans="1:40" s="1" customFormat="1">
      <c r="A80" s="440"/>
      <c r="B80" s="32" t="s">
        <v>82</v>
      </c>
      <c r="C80" s="439">
        <v>1325</v>
      </c>
      <c r="D80" s="2">
        <v>0</v>
      </c>
      <c r="E80" s="2">
        <v>3262</v>
      </c>
      <c r="F80" s="2">
        <v>0</v>
      </c>
      <c r="G80" s="2">
        <v>5188</v>
      </c>
      <c r="H80" s="2">
        <v>2419</v>
      </c>
      <c r="I80" s="439">
        <v>12194</v>
      </c>
      <c r="J80" s="439">
        <v>1054</v>
      </c>
      <c r="K80" s="2">
        <v>12933</v>
      </c>
      <c r="L80" s="2">
        <v>7462</v>
      </c>
      <c r="M80" s="2">
        <v>15368</v>
      </c>
      <c r="N80" s="439">
        <v>36817</v>
      </c>
      <c r="O80" s="439">
        <v>0</v>
      </c>
      <c r="P80" s="2">
        <v>0</v>
      </c>
      <c r="Q80" s="2">
        <v>0</v>
      </c>
      <c r="R80" s="439">
        <v>0</v>
      </c>
      <c r="S80" s="439">
        <v>0</v>
      </c>
      <c r="T80" s="453">
        <v>0</v>
      </c>
      <c r="W80" s="662"/>
      <c r="X80" s="662"/>
      <c r="Y80" s="662"/>
      <c r="Z80" s="662"/>
      <c r="AA80" s="662"/>
      <c r="AB80" s="662"/>
      <c r="AC80" s="662"/>
      <c r="AD80" s="671"/>
      <c r="AE80" s="662"/>
      <c r="AF80" s="662"/>
      <c r="AG80" s="662"/>
      <c r="AH80" s="662"/>
      <c r="AI80" s="662"/>
      <c r="AJ80" s="662"/>
      <c r="AK80" s="662"/>
      <c r="AL80" s="662"/>
      <c r="AM80" s="662"/>
      <c r="AN80" s="662"/>
    </row>
    <row r="81" spans="1:40">
      <c r="A81" s="440"/>
      <c r="B81" s="531" t="s">
        <v>88</v>
      </c>
      <c r="C81" s="531">
        <v>1.2459459739018984E-3</v>
      </c>
      <c r="D81" s="532">
        <v>0</v>
      </c>
      <c r="E81" s="532">
        <v>6.4418534843673474E-3</v>
      </c>
      <c r="F81" s="532">
        <v>0</v>
      </c>
      <c r="G81" s="532">
        <v>9.813360773416914E-3</v>
      </c>
      <c r="H81" s="532">
        <v>1.6222922674535577E-2</v>
      </c>
      <c r="I81" s="531">
        <v>5.4253377599770775E-3</v>
      </c>
      <c r="J81" s="531">
        <v>1.1968024708180043E-2</v>
      </c>
      <c r="K81" s="532">
        <v>2.2327494082773836E-2</v>
      </c>
      <c r="L81" s="532">
        <v>2.08825406064948E-2</v>
      </c>
      <c r="M81" s="532">
        <v>4.2426902764319215E-2</v>
      </c>
      <c r="N81" s="531">
        <v>2.6546943319604516E-2</v>
      </c>
      <c r="O81" s="531">
        <v>0</v>
      </c>
      <c r="P81" s="532">
        <v>0</v>
      </c>
      <c r="Q81" s="532">
        <v>0</v>
      </c>
      <c r="R81" s="531">
        <v>0</v>
      </c>
      <c r="S81" s="531">
        <v>0</v>
      </c>
      <c r="T81" s="533">
        <v>0</v>
      </c>
      <c r="W81" s="661">
        <f t="shared" ref="W81:AN81" si="31">IF(C81&gt;0,C81,"—")</f>
        <v>1.2459459739018984E-3</v>
      </c>
      <c r="X81" s="661" t="str">
        <f t="shared" si="31"/>
        <v>—</v>
      </c>
      <c r="Y81" s="661">
        <f t="shared" si="31"/>
        <v>6.4418534843673474E-3</v>
      </c>
      <c r="Z81" s="661" t="str">
        <f t="shared" si="31"/>
        <v>—</v>
      </c>
      <c r="AA81" s="661">
        <f t="shared" si="31"/>
        <v>9.813360773416914E-3</v>
      </c>
      <c r="AB81" s="661">
        <f t="shared" si="31"/>
        <v>1.6222922674535577E-2</v>
      </c>
      <c r="AC81" s="661">
        <f t="shared" si="31"/>
        <v>5.4253377599770775E-3</v>
      </c>
      <c r="AD81" s="669">
        <f t="shared" si="31"/>
        <v>1.1968024708180043E-2</v>
      </c>
      <c r="AE81" s="661">
        <f t="shared" si="31"/>
        <v>2.2327494082773836E-2</v>
      </c>
      <c r="AF81" s="661">
        <f t="shared" si="31"/>
        <v>2.08825406064948E-2</v>
      </c>
      <c r="AG81" s="661">
        <f t="shared" si="31"/>
        <v>4.2426902764319215E-2</v>
      </c>
      <c r="AH81" s="661">
        <f t="shared" si="31"/>
        <v>2.6546943319604516E-2</v>
      </c>
      <c r="AI81" s="661" t="str">
        <f t="shared" si="31"/>
        <v>—</v>
      </c>
      <c r="AJ81" s="661" t="str">
        <f t="shared" si="31"/>
        <v>—</v>
      </c>
      <c r="AK81" s="661" t="str">
        <f t="shared" si="31"/>
        <v>—</v>
      </c>
      <c r="AL81" s="661" t="str">
        <f t="shared" si="31"/>
        <v>—</v>
      </c>
      <c r="AM81" s="661" t="str">
        <f t="shared" si="31"/>
        <v>—</v>
      </c>
      <c r="AN81" s="661" t="str">
        <f t="shared" si="31"/>
        <v>—</v>
      </c>
    </row>
    <row r="82" spans="1:40" s="1" customFormat="1">
      <c r="A82" s="440"/>
      <c r="B82" s="646" t="s">
        <v>951</v>
      </c>
      <c r="C82" s="649">
        <v>2.0655667119939282E-4</v>
      </c>
      <c r="D82" s="651" t="e">
        <v>#VALUE!</v>
      </c>
      <c r="E82" s="651">
        <v>4.8765845767223624E-4</v>
      </c>
      <c r="F82" s="651" t="e">
        <v>#VALUE!</v>
      </c>
      <c r="G82" s="651">
        <v>7.0261134676898908E-4</v>
      </c>
      <c r="H82" s="651">
        <v>-2.114058807194584E-3</v>
      </c>
      <c r="I82" s="650">
        <v>2.1632923935906764E-4</v>
      </c>
      <c r="J82" s="650">
        <v>-3.4148618305456253E-3</v>
      </c>
      <c r="K82" s="651">
        <v>4.8304066902544116E-3</v>
      </c>
      <c r="L82" s="651">
        <v>-3.5829079911970756E-3</v>
      </c>
      <c r="M82" s="651">
        <v>1.9142802667642331E-3</v>
      </c>
      <c r="N82" s="650">
        <v>1.2953153773103063E-3</v>
      </c>
      <c r="O82" s="650" t="e">
        <v>#VALUE!</v>
      </c>
      <c r="P82" s="651" t="e">
        <v>#VALUE!</v>
      </c>
      <c r="Q82" s="651" t="e">
        <v>#VALUE!</v>
      </c>
      <c r="R82" s="650" t="e">
        <v>#VALUE!</v>
      </c>
      <c r="S82" s="650" t="e">
        <v>#VALUE!</v>
      </c>
      <c r="T82" s="652" t="e">
        <v>#VALUE!</v>
      </c>
      <c r="W82" s="664">
        <f t="shared" ref="W82:AN82" si="32">IF(OR((W78="—"),(W81="—")),"—",(W81-W78))</f>
        <v>2.0655667119939282E-4</v>
      </c>
      <c r="X82" s="664" t="str">
        <f t="shared" si="32"/>
        <v>—</v>
      </c>
      <c r="Y82" s="664">
        <f t="shared" si="32"/>
        <v>4.8765845767223624E-4</v>
      </c>
      <c r="Z82" s="664" t="str">
        <f t="shared" si="32"/>
        <v>—</v>
      </c>
      <c r="AA82" s="664">
        <f t="shared" si="32"/>
        <v>7.0261134676898908E-4</v>
      </c>
      <c r="AB82" s="664">
        <f t="shared" si="32"/>
        <v>-2.114058807194584E-3</v>
      </c>
      <c r="AC82" s="664">
        <f t="shared" si="32"/>
        <v>2.1632923935906764E-4</v>
      </c>
      <c r="AD82" s="672">
        <f t="shared" si="32"/>
        <v>-3.4148618305456253E-3</v>
      </c>
      <c r="AE82" s="664">
        <f t="shared" si="32"/>
        <v>4.8304066902544116E-3</v>
      </c>
      <c r="AF82" s="664">
        <f t="shared" si="32"/>
        <v>-3.5829079911970756E-3</v>
      </c>
      <c r="AG82" s="664">
        <f t="shared" si="32"/>
        <v>1.9142802667642331E-3</v>
      </c>
      <c r="AH82" s="664">
        <f t="shared" si="32"/>
        <v>1.2953153773103063E-3</v>
      </c>
      <c r="AI82" s="664" t="str">
        <f t="shared" si="32"/>
        <v>—</v>
      </c>
      <c r="AJ82" s="664" t="str">
        <f t="shared" si="32"/>
        <v>—</v>
      </c>
      <c r="AK82" s="664" t="str">
        <f t="shared" si="32"/>
        <v>—</v>
      </c>
      <c r="AL82" s="664" t="str">
        <f t="shared" si="32"/>
        <v>—</v>
      </c>
      <c r="AM82" s="664" t="str">
        <f t="shared" si="32"/>
        <v>—</v>
      </c>
      <c r="AN82" s="664" t="str">
        <f t="shared" si="32"/>
        <v>—</v>
      </c>
    </row>
    <row r="83" spans="1:40">
      <c r="A83" s="452" t="s">
        <v>865</v>
      </c>
      <c r="B83" s="437" t="s">
        <v>77</v>
      </c>
      <c r="C83" s="441">
        <v>980546</v>
      </c>
      <c r="D83" s="442">
        <v>0</v>
      </c>
      <c r="E83" s="442">
        <v>430131</v>
      </c>
      <c r="F83" s="442">
        <v>80748</v>
      </c>
      <c r="G83" s="442">
        <v>488393</v>
      </c>
      <c r="H83" s="442">
        <v>214644</v>
      </c>
      <c r="I83" s="441">
        <v>2194462</v>
      </c>
      <c r="J83" s="441">
        <v>32840</v>
      </c>
      <c r="K83" s="442">
        <v>838518.29999999993</v>
      </c>
      <c r="L83" s="442">
        <v>889488.12</v>
      </c>
      <c r="M83" s="442">
        <v>199305.93</v>
      </c>
      <c r="N83" s="441">
        <v>1960152.3499999996</v>
      </c>
      <c r="O83" s="441">
        <v>0</v>
      </c>
      <c r="P83" s="442">
        <v>0</v>
      </c>
      <c r="Q83" s="442">
        <v>0</v>
      </c>
      <c r="R83" s="441">
        <v>0</v>
      </c>
      <c r="S83" s="441">
        <v>0</v>
      </c>
      <c r="T83" s="455">
        <v>0</v>
      </c>
    </row>
    <row r="84" spans="1:40" s="1" customFormat="1">
      <c r="A84" s="440"/>
      <c r="B84" s="32" t="s">
        <v>81</v>
      </c>
      <c r="C84" s="439">
        <v>322</v>
      </c>
      <c r="D84" s="2">
        <v>0</v>
      </c>
      <c r="E84" s="2">
        <v>1042</v>
      </c>
      <c r="F84" s="2">
        <v>132</v>
      </c>
      <c r="G84" s="2">
        <v>907</v>
      </c>
      <c r="H84" s="2">
        <v>1107</v>
      </c>
      <c r="I84" s="439">
        <v>3510</v>
      </c>
      <c r="J84" s="439">
        <v>320</v>
      </c>
      <c r="K84" s="2">
        <v>8282</v>
      </c>
      <c r="L84" s="2">
        <v>25681</v>
      </c>
      <c r="M84" s="2">
        <v>10247</v>
      </c>
      <c r="N84" s="439">
        <v>44530</v>
      </c>
      <c r="O84" s="439">
        <v>0</v>
      </c>
      <c r="P84" s="2">
        <v>0</v>
      </c>
      <c r="Q84" s="2">
        <v>0</v>
      </c>
      <c r="R84" s="439">
        <v>0</v>
      </c>
      <c r="S84" s="439">
        <v>0</v>
      </c>
      <c r="T84" s="453">
        <v>0</v>
      </c>
      <c r="AD84" s="4"/>
    </row>
    <row r="85" spans="1:40">
      <c r="A85" s="440"/>
      <c r="B85" s="515" t="s">
        <v>83</v>
      </c>
      <c r="C85" s="515">
        <v>3.2838846928140035E-4</v>
      </c>
      <c r="D85" s="516">
        <v>0</v>
      </c>
      <c r="E85" s="516">
        <v>2.4225177910915511E-3</v>
      </c>
      <c r="F85" s="516">
        <v>1.63471541090801E-3</v>
      </c>
      <c r="G85" s="516">
        <v>1.8571109741540113E-3</v>
      </c>
      <c r="H85" s="516">
        <v>5.1573768658802486E-3</v>
      </c>
      <c r="I85" s="515">
        <v>1.5994808750390756E-3</v>
      </c>
      <c r="J85" s="515">
        <v>9.7442143727161992E-3</v>
      </c>
      <c r="K85" s="516">
        <v>9.8769460368366441E-3</v>
      </c>
      <c r="L85" s="516">
        <v>2.8871661602405663E-2</v>
      </c>
      <c r="M85" s="516">
        <v>5.1413422571019336E-2</v>
      </c>
      <c r="N85" s="515">
        <v>2.2717621923622422E-2</v>
      </c>
      <c r="O85" s="515">
        <v>0</v>
      </c>
      <c r="P85" s="516">
        <v>0</v>
      </c>
      <c r="Q85" s="516">
        <v>0</v>
      </c>
      <c r="R85" s="515">
        <v>0</v>
      </c>
      <c r="S85" s="515">
        <v>0</v>
      </c>
      <c r="T85" s="517">
        <v>0</v>
      </c>
      <c r="W85" s="661">
        <f t="shared" ref="W85:AN85" si="33">IF(C85&gt;0,C85,"—")</f>
        <v>3.2838846928140035E-4</v>
      </c>
      <c r="X85" s="661" t="str">
        <f t="shared" si="33"/>
        <v>—</v>
      </c>
      <c r="Y85" s="661">
        <f t="shared" si="33"/>
        <v>2.4225177910915511E-3</v>
      </c>
      <c r="Z85" s="661">
        <f t="shared" si="33"/>
        <v>1.63471541090801E-3</v>
      </c>
      <c r="AA85" s="661">
        <f t="shared" si="33"/>
        <v>1.8571109741540113E-3</v>
      </c>
      <c r="AB85" s="661">
        <f t="shared" si="33"/>
        <v>5.1573768658802486E-3</v>
      </c>
      <c r="AC85" s="661">
        <f t="shared" si="33"/>
        <v>1.5994808750390756E-3</v>
      </c>
      <c r="AD85" s="669">
        <f t="shared" si="33"/>
        <v>9.7442143727161992E-3</v>
      </c>
      <c r="AE85" s="661">
        <f t="shared" si="33"/>
        <v>9.8769460368366441E-3</v>
      </c>
      <c r="AF85" s="661">
        <f t="shared" si="33"/>
        <v>2.8871661602405663E-2</v>
      </c>
      <c r="AG85" s="661">
        <f t="shared" si="33"/>
        <v>5.1413422571019336E-2</v>
      </c>
      <c r="AH85" s="661">
        <f t="shared" si="33"/>
        <v>2.2717621923622422E-2</v>
      </c>
      <c r="AI85" s="661" t="str">
        <f t="shared" si="33"/>
        <v>—</v>
      </c>
      <c r="AJ85" s="661" t="str">
        <f t="shared" si="33"/>
        <v>—</v>
      </c>
      <c r="AK85" s="661" t="str">
        <f t="shared" si="33"/>
        <v>—</v>
      </c>
      <c r="AL85" s="661" t="str">
        <f t="shared" si="33"/>
        <v>—</v>
      </c>
      <c r="AM85" s="661" t="str">
        <f t="shared" si="33"/>
        <v>—</v>
      </c>
      <c r="AN85" s="661" t="str">
        <f t="shared" si="33"/>
        <v>—</v>
      </c>
    </row>
    <row r="86" spans="1:40" s="1" customFormat="1">
      <c r="A86" s="440"/>
      <c r="B86" s="32" t="s">
        <v>78</v>
      </c>
      <c r="C86" s="439">
        <v>1018939</v>
      </c>
      <c r="D86" s="2">
        <v>0</v>
      </c>
      <c r="E86" s="2">
        <v>428374.5</v>
      </c>
      <c r="F86" s="2">
        <v>81587</v>
      </c>
      <c r="G86" s="2">
        <v>502839.5</v>
      </c>
      <c r="H86" s="2">
        <v>218560</v>
      </c>
      <c r="I86" s="439">
        <v>2250300</v>
      </c>
      <c r="J86" s="439">
        <v>35651</v>
      </c>
      <c r="K86" s="2">
        <v>877880.48</v>
      </c>
      <c r="L86" s="2">
        <v>941941.85</v>
      </c>
      <c r="M86" s="2">
        <v>207221.99</v>
      </c>
      <c r="N86" s="439">
        <v>2062695.32</v>
      </c>
      <c r="O86" s="439">
        <v>0</v>
      </c>
      <c r="P86" s="2">
        <v>0</v>
      </c>
      <c r="Q86" s="2">
        <v>0</v>
      </c>
      <c r="R86" s="439">
        <v>0</v>
      </c>
      <c r="S86" s="439">
        <v>0</v>
      </c>
      <c r="T86" s="453">
        <v>0</v>
      </c>
      <c r="W86" s="120"/>
      <c r="X86" s="120"/>
      <c r="Y86" s="120"/>
      <c r="Z86" s="120"/>
      <c r="AA86" s="120"/>
      <c r="AB86" s="120"/>
      <c r="AC86" s="120"/>
      <c r="AD86" s="670"/>
      <c r="AE86" s="120"/>
      <c r="AF86" s="120"/>
      <c r="AG86" s="120"/>
      <c r="AH86" s="120"/>
      <c r="AI86" s="120"/>
      <c r="AJ86" s="120"/>
      <c r="AK86" s="120"/>
      <c r="AL86" s="120"/>
      <c r="AM86" s="120"/>
      <c r="AN86" s="120"/>
    </row>
    <row r="87" spans="1:40">
      <c r="A87" s="440"/>
      <c r="B87" s="32" t="s">
        <v>82</v>
      </c>
      <c r="C87" s="439">
        <v>88</v>
      </c>
      <c r="D87" s="2">
        <v>0</v>
      </c>
      <c r="E87" s="2">
        <v>1066</v>
      </c>
      <c r="F87" s="2">
        <v>167</v>
      </c>
      <c r="G87" s="2">
        <v>1220</v>
      </c>
      <c r="H87" s="2">
        <v>1852</v>
      </c>
      <c r="I87" s="439">
        <v>4393</v>
      </c>
      <c r="J87" s="439">
        <v>332</v>
      </c>
      <c r="K87" s="2">
        <v>12486</v>
      </c>
      <c r="L87" s="2">
        <v>30970</v>
      </c>
      <c r="M87" s="2">
        <v>12871</v>
      </c>
      <c r="N87" s="439">
        <v>56659</v>
      </c>
      <c r="O87" s="439">
        <v>0</v>
      </c>
      <c r="P87" s="2">
        <v>0</v>
      </c>
      <c r="Q87" s="2">
        <v>0</v>
      </c>
      <c r="R87" s="439">
        <v>0</v>
      </c>
      <c r="S87" s="439">
        <v>0</v>
      </c>
      <c r="T87" s="453">
        <v>0</v>
      </c>
      <c r="W87" s="662"/>
      <c r="X87" s="662"/>
      <c r="Y87" s="662"/>
      <c r="Z87" s="662"/>
      <c r="AA87" s="662"/>
      <c r="AB87" s="662"/>
      <c r="AC87" s="662"/>
      <c r="AD87" s="671"/>
      <c r="AE87" s="662"/>
      <c r="AF87" s="662"/>
      <c r="AG87" s="662"/>
      <c r="AH87" s="662"/>
      <c r="AI87" s="662"/>
      <c r="AJ87" s="662"/>
      <c r="AK87" s="662"/>
      <c r="AL87" s="662"/>
      <c r="AM87" s="662"/>
      <c r="AN87" s="662"/>
    </row>
    <row r="88" spans="1:40" s="1" customFormat="1">
      <c r="A88" s="440"/>
      <c r="B88" s="531" t="s">
        <v>88</v>
      </c>
      <c r="C88" s="531">
        <v>8.636434565759089E-5</v>
      </c>
      <c r="D88" s="532">
        <v>0</v>
      </c>
      <c r="E88" s="532">
        <v>2.488476788417611E-3</v>
      </c>
      <c r="F88" s="532">
        <v>2.0468947258754457E-3</v>
      </c>
      <c r="G88" s="532">
        <v>2.42622148816869E-3</v>
      </c>
      <c r="H88" s="532">
        <v>8.4736456808199127E-3</v>
      </c>
      <c r="I88" s="531">
        <v>1.9521841532240147E-3</v>
      </c>
      <c r="J88" s="531">
        <v>9.312501753106505E-3</v>
      </c>
      <c r="K88" s="532">
        <v>1.4222892847554829E-2</v>
      </c>
      <c r="L88" s="532">
        <v>3.287888737505399E-2</v>
      </c>
      <c r="M88" s="532">
        <v>6.2112133948718479E-2</v>
      </c>
      <c r="N88" s="531">
        <v>2.7468429026153991E-2</v>
      </c>
      <c r="O88" s="531">
        <v>0</v>
      </c>
      <c r="P88" s="532">
        <v>0</v>
      </c>
      <c r="Q88" s="532">
        <v>0</v>
      </c>
      <c r="R88" s="531">
        <v>0</v>
      </c>
      <c r="S88" s="531">
        <v>0</v>
      </c>
      <c r="T88" s="533">
        <v>0</v>
      </c>
      <c r="W88" s="661">
        <f t="shared" ref="W88:AN88" si="34">IF(C88&gt;0,C88,"—")</f>
        <v>8.636434565759089E-5</v>
      </c>
      <c r="X88" s="661" t="str">
        <f t="shared" si="34"/>
        <v>—</v>
      </c>
      <c r="Y88" s="661">
        <f t="shared" si="34"/>
        <v>2.488476788417611E-3</v>
      </c>
      <c r="Z88" s="661">
        <f t="shared" si="34"/>
        <v>2.0468947258754457E-3</v>
      </c>
      <c r="AA88" s="661">
        <f t="shared" si="34"/>
        <v>2.42622148816869E-3</v>
      </c>
      <c r="AB88" s="661">
        <f t="shared" si="34"/>
        <v>8.4736456808199127E-3</v>
      </c>
      <c r="AC88" s="661">
        <f t="shared" si="34"/>
        <v>1.9521841532240147E-3</v>
      </c>
      <c r="AD88" s="669">
        <f t="shared" si="34"/>
        <v>9.312501753106505E-3</v>
      </c>
      <c r="AE88" s="661">
        <f t="shared" si="34"/>
        <v>1.4222892847554829E-2</v>
      </c>
      <c r="AF88" s="661">
        <f t="shared" si="34"/>
        <v>3.287888737505399E-2</v>
      </c>
      <c r="AG88" s="661">
        <f t="shared" si="34"/>
        <v>6.2112133948718479E-2</v>
      </c>
      <c r="AH88" s="661">
        <f t="shared" si="34"/>
        <v>2.7468429026153991E-2</v>
      </c>
      <c r="AI88" s="661" t="str">
        <f t="shared" si="34"/>
        <v>—</v>
      </c>
      <c r="AJ88" s="661" t="str">
        <f t="shared" si="34"/>
        <v>—</v>
      </c>
      <c r="AK88" s="661" t="str">
        <f t="shared" si="34"/>
        <v>—</v>
      </c>
      <c r="AL88" s="661" t="str">
        <f t="shared" si="34"/>
        <v>—</v>
      </c>
      <c r="AM88" s="661" t="str">
        <f t="shared" si="34"/>
        <v>—</v>
      </c>
      <c r="AN88" s="661" t="str">
        <f t="shared" si="34"/>
        <v>—</v>
      </c>
    </row>
    <row r="89" spans="1:40">
      <c r="A89" s="440"/>
      <c r="B89" s="646" t="s">
        <v>951</v>
      </c>
      <c r="C89" s="649">
        <v>-2.4202412362380946E-4</v>
      </c>
      <c r="D89" s="651" t="e">
        <v>#VALUE!</v>
      </c>
      <c r="E89" s="651">
        <v>6.595899732605992E-5</v>
      </c>
      <c r="F89" s="651">
        <v>4.1217931496743574E-4</v>
      </c>
      <c r="G89" s="651">
        <v>5.6911051401467875E-4</v>
      </c>
      <c r="H89" s="651">
        <v>3.3162688149396642E-3</v>
      </c>
      <c r="I89" s="650">
        <v>3.5270327818493906E-4</v>
      </c>
      <c r="J89" s="650">
        <v>-4.3171261960969418E-4</v>
      </c>
      <c r="K89" s="651">
        <v>4.3459468107181851E-3</v>
      </c>
      <c r="L89" s="651">
        <v>4.0072257726483269E-3</v>
      </c>
      <c r="M89" s="651">
        <v>1.0698711377699142E-2</v>
      </c>
      <c r="N89" s="650">
        <v>4.7508071025315693E-3</v>
      </c>
      <c r="O89" s="650" t="e">
        <v>#VALUE!</v>
      </c>
      <c r="P89" s="651" t="e">
        <v>#VALUE!</v>
      </c>
      <c r="Q89" s="651" t="e">
        <v>#VALUE!</v>
      </c>
      <c r="R89" s="650" t="e">
        <v>#VALUE!</v>
      </c>
      <c r="S89" s="650" t="e">
        <v>#VALUE!</v>
      </c>
      <c r="T89" s="652" t="e">
        <v>#VALUE!</v>
      </c>
      <c r="W89" s="664">
        <f t="shared" ref="W89:AN89" si="35">IF(OR((W85="—"),(W88="—")),"—",(W88-W85))</f>
        <v>-2.4202412362380946E-4</v>
      </c>
      <c r="X89" s="664" t="str">
        <f t="shared" si="35"/>
        <v>—</v>
      </c>
      <c r="Y89" s="664">
        <f t="shared" si="35"/>
        <v>6.595899732605992E-5</v>
      </c>
      <c r="Z89" s="664">
        <f t="shared" si="35"/>
        <v>4.1217931496743574E-4</v>
      </c>
      <c r="AA89" s="664">
        <f t="shared" si="35"/>
        <v>5.6911051401467875E-4</v>
      </c>
      <c r="AB89" s="664">
        <f t="shared" si="35"/>
        <v>3.3162688149396642E-3</v>
      </c>
      <c r="AC89" s="664">
        <f t="shared" si="35"/>
        <v>3.5270327818493906E-4</v>
      </c>
      <c r="AD89" s="672">
        <f t="shared" si="35"/>
        <v>-4.3171261960969418E-4</v>
      </c>
      <c r="AE89" s="664">
        <f t="shared" si="35"/>
        <v>4.3459468107181851E-3</v>
      </c>
      <c r="AF89" s="664">
        <f t="shared" si="35"/>
        <v>4.0072257726483269E-3</v>
      </c>
      <c r="AG89" s="664">
        <f t="shared" si="35"/>
        <v>1.0698711377699142E-2</v>
      </c>
      <c r="AH89" s="664">
        <f t="shared" si="35"/>
        <v>4.7508071025315693E-3</v>
      </c>
      <c r="AI89" s="664" t="str">
        <f t="shared" si="35"/>
        <v>—</v>
      </c>
      <c r="AJ89" s="664" t="str">
        <f t="shared" si="35"/>
        <v>—</v>
      </c>
      <c r="AK89" s="664" t="str">
        <f t="shared" si="35"/>
        <v>—</v>
      </c>
      <c r="AL89" s="664" t="str">
        <f t="shared" si="35"/>
        <v>—</v>
      </c>
      <c r="AM89" s="664" t="str">
        <f t="shared" si="35"/>
        <v>—</v>
      </c>
      <c r="AN89" s="664" t="str">
        <f t="shared" si="35"/>
        <v>—</v>
      </c>
    </row>
    <row r="90" spans="1:40" s="1" customFormat="1">
      <c r="A90" s="452" t="s">
        <v>254</v>
      </c>
      <c r="B90" s="437" t="s">
        <v>77</v>
      </c>
      <c r="C90" s="441">
        <v>597318</v>
      </c>
      <c r="D90" s="442">
        <v>404411</v>
      </c>
      <c r="E90" s="442">
        <v>1265733</v>
      </c>
      <c r="F90" s="442">
        <v>429099</v>
      </c>
      <c r="G90" s="442">
        <v>180183</v>
      </c>
      <c r="H90" s="442">
        <v>0</v>
      </c>
      <c r="I90" s="441">
        <v>2876744</v>
      </c>
      <c r="J90" s="441">
        <v>0</v>
      </c>
      <c r="K90" s="442">
        <v>566098</v>
      </c>
      <c r="L90" s="442">
        <v>944230</v>
      </c>
      <c r="M90" s="442">
        <v>51376</v>
      </c>
      <c r="N90" s="441">
        <v>1561704</v>
      </c>
      <c r="O90" s="441">
        <v>0</v>
      </c>
      <c r="P90" s="442">
        <v>0</v>
      </c>
      <c r="Q90" s="442">
        <v>0</v>
      </c>
      <c r="R90" s="441">
        <v>0</v>
      </c>
      <c r="S90" s="441">
        <v>0</v>
      </c>
      <c r="T90" s="455">
        <v>0</v>
      </c>
      <c r="AD90" s="4"/>
    </row>
    <row r="91" spans="1:40">
      <c r="A91" s="440"/>
      <c r="B91" s="32" t="s">
        <v>81</v>
      </c>
      <c r="C91" s="439">
        <v>851</v>
      </c>
      <c r="D91" s="2">
        <v>1576</v>
      </c>
      <c r="E91" s="2">
        <v>2523</v>
      </c>
      <c r="F91" s="2">
        <v>451</v>
      </c>
      <c r="G91" s="2">
        <v>5861</v>
      </c>
      <c r="H91" s="2">
        <v>0</v>
      </c>
      <c r="I91" s="439">
        <v>11262</v>
      </c>
      <c r="J91" s="439">
        <v>0</v>
      </c>
      <c r="K91" s="2">
        <v>15465</v>
      </c>
      <c r="L91" s="2">
        <v>29051</v>
      </c>
      <c r="M91" s="2">
        <v>2361</v>
      </c>
      <c r="N91" s="439">
        <v>46877</v>
      </c>
      <c r="O91" s="439">
        <v>0</v>
      </c>
      <c r="P91" s="2">
        <v>0</v>
      </c>
      <c r="Q91" s="2">
        <v>0</v>
      </c>
      <c r="R91" s="439">
        <v>0</v>
      </c>
      <c r="S91" s="439">
        <v>0</v>
      </c>
      <c r="T91" s="453">
        <v>0</v>
      </c>
    </row>
    <row r="92" spans="1:40" s="1" customFormat="1">
      <c r="A92" s="440"/>
      <c r="B92" s="515" t="s">
        <v>83</v>
      </c>
      <c r="C92" s="515">
        <v>1.424701750156533E-3</v>
      </c>
      <c r="D92" s="516">
        <v>3.897025550739223E-3</v>
      </c>
      <c r="E92" s="516">
        <v>1.9933113855765791E-3</v>
      </c>
      <c r="F92" s="516">
        <v>1.0510395037042733E-3</v>
      </c>
      <c r="G92" s="516">
        <v>3.2528040936159353E-2</v>
      </c>
      <c r="H92" s="516">
        <v>0</v>
      </c>
      <c r="I92" s="515">
        <v>3.9148426137327478E-3</v>
      </c>
      <c r="J92" s="515">
        <v>0</v>
      </c>
      <c r="K92" s="516">
        <v>2.7318591480627031E-2</v>
      </c>
      <c r="L92" s="516">
        <v>3.0766868241847854E-2</v>
      </c>
      <c r="M92" s="516">
        <v>4.5955309872313922E-2</v>
      </c>
      <c r="N92" s="515">
        <v>3.001657164225743E-2</v>
      </c>
      <c r="O92" s="515">
        <v>0</v>
      </c>
      <c r="P92" s="516">
        <v>0</v>
      </c>
      <c r="Q92" s="516">
        <v>0</v>
      </c>
      <c r="R92" s="515">
        <v>0</v>
      </c>
      <c r="S92" s="515">
        <v>0</v>
      </c>
      <c r="T92" s="517">
        <v>0</v>
      </c>
      <c r="W92" s="661">
        <f t="shared" ref="W92:AN92" si="36">IF(C92&gt;0,C92,"—")</f>
        <v>1.424701750156533E-3</v>
      </c>
      <c r="X92" s="661">
        <f t="shared" si="36"/>
        <v>3.897025550739223E-3</v>
      </c>
      <c r="Y92" s="661">
        <f t="shared" si="36"/>
        <v>1.9933113855765791E-3</v>
      </c>
      <c r="Z92" s="661">
        <f t="shared" si="36"/>
        <v>1.0510395037042733E-3</v>
      </c>
      <c r="AA92" s="661">
        <f t="shared" si="36"/>
        <v>3.2528040936159353E-2</v>
      </c>
      <c r="AB92" s="661" t="str">
        <f t="shared" si="36"/>
        <v>—</v>
      </c>
      <c r="AC92" s="661">
        <f t="shared" si="36"/>
        <v>3.9148426137327478E-3</v>
      </c>
      <c r="AD92" s="669" t="str">
        <f t="shared" si="36"/>
        <v>—</v>
      </c>
      <c r="AE92" s="661">
        <f t="shared" si="36"/>
        <v>2.7318591480627031E-2</v>
      </c>
      <c r="AF92" s="661">
        <f t="shared" si="36"/>
        <v>3.0766868241847854E-2</v>
      </c>
      <c r="AG92" s="661">
        <f t="shared" si="36"/>
        <v>4.5955309872313922E-2</v>
      </c>
      <c r="AH92" s="661">
        <f t="shared" si="36"/>
        <v>3.001657164225743E-2</v>
      </c>
      <c r="AI92" s="661" t="str">
        <f t="shared" si="36"/>
        <v>—</v>
      </c>
      <c r="AJ92" s="661" t="str">
        <f t="shared" si="36"/>
        <v>—</v>
      </c>
      <c r="AK92" s="661" t="str">
        <f t="shared" si="36"/>
        <v>—</v>
      </c>
      <c r="AL92" s="661" t="str">
        <f t="shared" si="36"/>
        <v>—</v>
      </c>
      <c r="AM92" s="661" t="str">
        <f t="shared" si="36"/>
        <v>—</v>
      </c>
      <c r="AN92" s="661" t="str">
        <f t="shared" si="36"/>
        <v>—</v>
      </c>
    </row>
    <row r="93" spans="1:40">
      <c r="A93" s="440"/>
      <c r="B93" s="32" t="s">
        <v>78</v>
      </c>
      <c r="C93" s="439">
        <v>621070</v>
      </c>
      <c r="D93" s="2">
        <v>400979</v>
      </c>
      <c r="E93" s="2">
        <v>1276288</v>
      </c>
      <c r="F93" s="2">
        <v>441106</v>
      </c>
      <c r="G93" s="2">
        <v>184664</v>
      </c>
      <c r="H93" s="2">
        <v>0</v>
      </c>
      <c r="I93" s="439">
        <v>2924107</v>
      </c>
      <c r="J93" s="439">
        <v>0</v>
      </c>
      <c r="K93" s="2">
        <v>577619</v>
      </c>
      <c r="L93" s="2">
        <v>976795</v>
      </c>
      <c r="M93" s="2">
        <v>51542</v>
      </c>
      <c r="N93" s="439">
        <v>1605956</v>
      </c>
      <c r="O93" s="439">
        <v>0</v>
      </c>
      <c r="P93" s="2">
        <v>0</v>
      </c>
      <c r="Q93" s="2">
        <v>0</v>
      </c>
      <c r="R93" s="439">
        <v>0</v>
      </c>
      <c r="S93" s="439">
        <v>0</v>
      </c>
      <c r="T93" s="453">
        <v>0</v>
      </c>
      <c r="W93" s="120"/>
      <c r="X93" s="120"/>
      <c r="Y93" s="120"/>
      <c r="Z93" s="120"/>
      <c r="AA93" s="120"/>
      <c r="AB93" s="120"/>
      <c r="AC93" s="120"/>
      <c r="AD93" s="670"/>
      <c r="AE93" s="120"/>
      <c r="AF93" s="120"/>
      <c r="AG93" s="120"/>
      <c r="AH93" s="120"/>
      <c r="AI93" s="120"/>
      <c r="AJ93" s="120"/>
      <c r="AK93" s="120"/>
      <c r="AL93" s="120"/>
      <c r="AM93" s="120"/>
      <c r="AN93" s="120"/>
    </row>
    <row r="94" spans="1:40" s="1" customFormat="1">
      <c r="A94" s="440"/>
      <c r="B94" s="32" t="s">
        <v>82</v>
      </c>
      <c r="C94" s="439">
        <v>837</v>
      </c>
      <c r="D94" s="2">
        <v>2163</v>
      </c>
      <c r="E94" s="2">
        <v>3164</v>
      </c>
      <c r="F94" s="2">
        <v>1316</v>
      </c>
      <c r="G94" s="2">
        <v>6044</v>
      </c>
      <c r="H94" s="2">
        <v>0</v>
      </c>
      <c r="I94" s="439">
        <v>13524</v>
      </c>
      <c r="J94" s="439">
        <v>0</v>
      </c>
      <c r="K94" s="2">
        <v>15191</v>
      </c>
      <c r="L94" s="2">
        <v>36823</v>
      </c>
      <c r="M94" s="2">
        <v>3629</v>
      </c>
      <c r="N94" s="439">
        <v>55643</v>
      </c>
      <c r="O94" s="439">
        <v>0</v>
      </c>
      <c r="P94" s="2">
        <v>0</v>
      </c>
      <c r="Q94" s="2">
        <v>0</v>
      </c>
      <c r="R94" s="439">
        <v>0</v>
      </c>
      <c r="S94" s="439">
        <v>0</v>
      </c>
      <c r="T94" s="453">
        <v>0</v>
      </c>
      <c r="W94" s="662"/>
      <c r="X94" s="662"/>
      <c r="Y94" s="662"/>
      <c r="Z94" s="662"/>
      <c r="AA94" s="662"/>
      <c r="AB94" s="662"/>
      <c r="AC94" s="662"/>
      <c r="AD94" s="671"/>
      <c r="AE94" s="662"/>
      <c r="AF94" s="662"/>
      <c r="AG94" s="662"/>
      <c r="AH94" s="662"/>
      <c r="AI94" s="662"/>
      <c r="AJ94" s="662"/>
      <c r="AK94" s="662"/>
      <c r="AL94" s="662"/>
      <c r="AM94" s="662"/>
      <c r="AN94" s="662"/>
    </row>
    <row r="95" spans="1:40">
      <c r="A95" s="440"/>
      <c r="B95" s="531" t="s">
        <v>88</v>
      </c>
      <c r="C95" s="531">
        <v>1.347674175213744E-3</v>
      </c>
      <c r="D95" s="532">
        <v>5.394297456974056E-3</v>
      </c>
      <c r="E95" s="532">
        <v>2.4790642864306487E-3</v>
      </c>
      <c r="F95" s="532">
        <v>2.9834098833386984E-3</v>
      </c>
      <c r="G95" s="532">
        <v>3.272971450851276E-2</v>
      </c>
      <c r="H95" s="532">
        <v>0</v>
      </c>
      <c r="I95" s="531">
        <v>4.6250017526718416E-3</v>
      </c>
      <c r="J95" s="531">
        <v>0</v>
      </c>
      <c r="K95" s="532">
        <v>2.6299342646277216E-2</v>
      </c>
      <c r="L95" s="532">
        <v>3.7697776913272488E-2</v>
      </c>
      <c r="M95" s="532">
        <v>7.0408598812618836E-2</v>
      </c>
      <c r="N95" s="531">
        <v>3.4647898198954391E-2</v>
      </c>
      <c r="O95" s="531">
        <v>0</v>
      </c>
      <c r="P95" s="532">
        <v>0</v>
      </c>
      <c r="Q95" s="532">
        <v>0</v>
      </c>
      <c r="R95" s="531">
        <v>0</v>
      </c>
      <c r="S95" s="531">
        <v>0</v>
      </c>
      <c r="T95" s="533">
        <v>0</v>
      </c>
      <c r="W95" s="661">
        <f t="shared" ref="W95:AN95" si="37">IF(C95&gt;0,C95,"—")</f>
        <v>1.347674175213744E-3</v>
      </c>
      <c r="X95" s="661">
        <f t="shared" si="37"/>
        <v>5.394297456974056E-3</v>
      </c>
      <c r="Y95" s="661">
        <f t="shared" si="37"/>
        <v>2.4790642864306487E-3</v>
      </c>
      <c r="Z95" s="661">
        <f t="shared" si="37"/>
        <v>2.9834098833386984E-3</v>
      </c>
      <c r="AA95" s="661">
        <f t="shared" si="37"/>
        <v>3.272971450851276E-2</v>
      </c>
      <c r="AB95" s="661" t="str">
        <f t="shared" si="37"/>
        <v>—</v>
      </c>
      <c r="AC95" s="661">
        <f t="shared" si="37"/>
        <v>4.6250017526718416E-3</v>
      </c>
      <c r="AD95" s="669" t="str">
        <f t="shared" si="37"/>
        <v>—</v>
      </c>
      <c r="AE95" s="661">
        <f t="shared" si="37"/>
        <v>2.6299342646277216E-2</v>
      </c>
      <c r="AF95" s="661">
        <f t="shared" si="37"/>
        <v>3.7697776913272488E-2</v>
      </c>
      <c r="AG95" s="661">
        <f t="shared" si="37"/>
        <v>7.0408598812618836E-2</v>
      </c>
      <c r="AH95" s="661">
        <f t="shared" si="37"/>
        <v>3.4647898198954391E-2</v>
      </c>
      <c r="AI95" s="661" t="str">
        <f t="shared" si="37"/>
        <v>—</v>
      </c>
      <c r="AJ95" s="661" t="str">
        <f t="shared" si="37"/>
        <v>—</v>
      </c>
      <c r="AK95" s="661" t="str">
        <f t="shared" si="37"/>
        <v>—</v>
      </c>
      <c r="AL95" s="661" t="str">
        <f t="shared" si="37"/>
        <v>—</v>
      </c>
      <c r="AM95" s="661" t="str">
        <f t="shared" si="37"/>
        <v>—</v>
      </c>
      <c r="AN95" s="661" t="str">
        <f t="shared" si="37"/>
        <v>—</v>
      </c>
    </row>
    <row r="96" spans="1:40" s="1" customFormat="1">
      <c r="A96" s="440"/>
      <c r="B96" s="646" t="s">
        <v>951</v>
      </c>
      <c r="C96" s="649">
        <v>-7.7027574942789036E-5</v>
      </c>
      <c r="D96" s="651">
        <v>1.4972719062348329E-3</v>
      </c>
      <c r="E96" s="651">
        <v>4.8575290085406961E-4</v>
      </c>
      <c r="F96" s="651">
        <v>1.9323703796344251E-3</v>
      </c>
      <c r="G96" s="651">
        <v>2.0167357235340716E-4</v>
      </c>
      <c r="H96" s="651" t="e">
        <v>#VALUE!</v>
      </c>
      <c r="I96" s="650">
        <v>7.1015913893909387E-4</v>
      </c>
      <c r="J96" s="650" t="e">
        <v>#VALUE!</v>
      </c>
      <c r="K96" s="651">
        <v>-1.0192488343498153E-3</v>
      </c>
      <c r="L96" s="651">
        <v>6.9309086714246342E-3</v>
      </c>
      <c r="M96" s="651">
        <v>2.4453288940304914E-2</v>
      </c>
      <c r="N96" s="650">
        <v>4.6313265566969609E-3</v>
      </c>
      <c r="O96" s="650" t="e">
        <v>#VALUE!</v>
      </c>
      <c r="P96" s="651" t="e">
        <v>#VALUE!</v>
      </c>
      <c r="Q96" s="651" t="e">
        <v>#VALUE!</v>
      </c>
      <c r="R96" s="650" t="e">
        <v>#VALUE!</v>
      </c>
      <c r="S96" s="650" t="e">
        <v>#VALUE!</v>
      </c>
      <c r="T96" s="652" t="e">
        <v>#VALUE!</v>
      </c>
      <c r="W96" s="664">
        <f t="shared" ref="W96:AN96" si="38">IF(OR((W92="—"),(W95="—")),"—",(W95-W92))</f>
        <v>-7.7027574942789036E-5</v>
      </c>
      <c r="X96" s="664">
        <f t="shared" si="38"/>
        <v>1.4972719062348329E-3</v>
      </c>
      <c r="Y96" s="664">
        <f t="shared" si="38"/>
        <v>4.8575290085406961E-4</v>
      </c>
      <c r="Z96" s="664">
        <f t="shared" si="38"/>
        <v>1.9323703796344251E-3</v>
      </c>
      <c r="AA96" s="664">
        <f t="shared" si="38"/>
        <v>2.0167357235340716E-4</v>
      </c>
      <c r="AB96" s="664" t="str">
        <f t="shared" si="38"/>
        <v>—</v>
      </c>
      <c r="AC96" s="664">
        <f t="shared" si="38"/>
        <v>7.1015913893909387E-4</v>
      </c>
      <c r="AD96" s="672" t="str">
        <f t="shared" si="38"/>
        <v>—</v>
      </c>
      <c r="AE96" s="664">
        <f t="shared" si="38"/>
        <v>-1.0192488343498153E-3</v>
      </c>
      <c r="AF96" s="664">
        <f t="shared" si="38"/>
        <v>6.9309086714246342E-3</v>
      </c>
      <c r="AG96" s="664">
        <f t="shared" si="38"/>
        <v>2.4453288940304914E-2</v>
      </c>
      <c r="AH96" s="664">
        <f t="shared" si="38"/>
        <v>4.6313265566969609E-3</v>
      </c>
      <c r="AI96" s="664" t="str">
        <f t="shared" si="38"/>
        <v>—</v>
      </c>
      <c r="AJ96" s="664" t="str">
        <f t="shared" si="38"/>
        <v>—</v>
      </c>
      <c r="AK96" s="664" t="str">
        <f t="shared" si="38"/>
        <v>—</v>
      </c>
      <c r="AL96" s="664" t="str">
        <f t="shared" si="38"/>
        <v>—</v>
      </c>
      <c r="AM96" s="664" t="str">
        <f t="shared" si="38"/>
        <v>—</v>
      </c>
      <c r="AN96" s="664" t="str">
        <f t="shared" si="38"/>
        <v>—</v>
      </c>
    </row>
    <row r="97" spans="1:40">
      <c r="A97" s="452" t="s">
        <v>306</v>
      </c>
      <c r="B97" s="437" t="s">
        <v>77</v>
      </c>
      <c r="C97" s="441">
        <v>4793401</v>
      </c>
      <c r="D97" s="442">
        <v>581870</v>
      </c>
      <c r="E97" s="442">
        <v>4281447</v>
      </c>
      <c r="F97" s="442">
        <v>267443</v>
      </c>
      <c r="G97" s="442">
        <v>294066</v>
      </c>
      <c r="H97" s="442">
        <v>44832</v>
      </c>
      <c r="I97" s="441">
        <v>10263059</v>
      </c>
      <c r="J97" s="441">
        <v>0</v>
      </c>
      <c r="K97" s="442">
        <v>8448670</v>
      </c>
      <c r="L97" s="442">
        <v>2671810</v>
      </c>
      <c r="M97" s="442">
        <v>386757</v>
      </c>
      <c r="N97" s="441">
        <v>11507237</v>
      </c>
      <c r="O97" s="441">
        <v>0</v>
      </c>
      <c r="P97" s="442">
        <v>0</v>
      </c>
      <c r="Q97" s="442">
        <v>0</v>
      </c>
      <c r="R97" s="441">
        <v>0</v>
      </c>
      <c r="S97" s="441">
        <v>0</v>
      </c>
      <c r="T97" s="455">
        <v>0</v>
      </c>
    </row>
    <row r="98" spans="1:40" s="1" customFormat="1">
      <c r="A98" s="440"/>
      <c r="B98" s="32" t="s">
        <v>81</v>
      </c>
      <c r="C98" s="439">
        <v>182</v>
      </c>
      <c r="D98" s="2">
        <v>1021</v>
      </c>
      <c r="E98" s="2">
        <v>10821</v>
      </c>
      <c r="F98" s="2">
        <v>8235</v>
      </c>
      <c r="G98" s="2">
        <v>42</v>
      </c>
      <c r="H98" s="2">
        <v>0</v>
      </c>
      <c r="I98" s="439">
        <v>20301</v>
      </c>
      <c r="J98" s="439">
        <v>0</v>
      </c>
      <c r="K98" s="2">
        <v>419739</v>
      </c>
      <c r="L98" s="2">
        <v>153679</v>
      </c>
      <c r="M98" s="2">
        <v>26222</v>
      </c>
      <c r="N98" s="439">
        <v>599640</v>
      </c>
      <c r="O98" s="439">
        <v>0</v>
      </c>
      <c r="P98" s="2">
        <v>0</v>
      </c>
      <c r="Q98" s="2">
        <v>0</v>
      </c>
      <c r="R98" s="439">
        <v>0</v>
      </c>
      <c r="S98" s="439">
        <v>0</v>
      </c>
      <c r="T98" s="453">
        <v>0</v>
      </c>
      <c r="AD98" s="4"/>
    </row>
    <row r="99" spans="1:40">
      <c r="A99" s="440"/>
      <c r="B99" s="515" t="s">
        <v>83</v>
      </c>
      <c r="C99" s="515">
        <v>3.7968865947163611E-5</v>
      </c>
      <c r="D99" s="516">
        <v>1.7546874731469229E-3</v>
      </c>
      <c r="E99" s="516">
        <v>2.5274165486574981E-3</v>
      </c>
      <c r="F99" s="516">
        <v>3.0791607931409684E-2</v>
      </c>
      <c r="G99" s="516">
        <v>1.4282508008406277E-4</v>
      </c>
      <c r="H99" s="516">
        <v>0</v>
      </c>
      <c r="I99" s="515">
        <v>1.9780652142796801E-3</v>
      </c>
      <c r="J99" s="515">
        <v>0</v>
      </c>
      <c r="K99" s="516">
        <v>4.9681074062544753E-2</v>
      </c>
      <c r="L99" s="516">
        <v>5.7518685834696333E-2</v>
      </c>
      <c r="M99" s="516">
        <v>6.7799677833885366E-2</v>
      </c>
      <c r="N99" s="515">
        <v>5.2109815762028715E-2</v>
      </c>
      <c r="O99" s="515">
        <v>0</v>
      </c>
      <c r="P99" s="516">
        <v>0</v>
      </c>
      <c r="Q99" s="516">
        <v>0</v>
      </c>
      <c r="R99" s="515">
        <v>0</v>
      </c>
      <c r="S99" s="515">
        <v>0</v>
      </c>
      <c r="T99" s="517">
        <v>0</v>
      </c>
      <c r="W99" s="661">
        <f t="shared" ref="W99:AN99" si="39">IF(C99&gt;0,C99,"—")</f>
        <v>3.7968865947163611E-5</v>
      </c>
      <c r="X99" s="661">
        <f t="shared" si="39"/>
        <v>1.7546874731469229E-3</v>
      </c>
      <c r="Y99" s="661">
        <f t="shared" si="39"/>
        <v>2.5274165486574981E-3</v>
      </c>
      <c r="Z99" s="661">
        <f t="shared" si="39"/>
        <v>3.0791607931409684E-2</v>
      </c>
      <c r="AA99" s="661">
        <f t="shared" si="39"/>
        <v>1.4282508008406277E-4</v>
      </c>
      <c r="AB99" s="661" t="str">
        <f t="shared" si="39"/>
        <v>—</v>
      </c>
      <c r="AC99" s="661">
        <f t="shared" si="39"/>
        <v>1.9780652142796801E-3</v>
      </c>
      <c r="AD99" s="669" t="str">
        <f t="shared" si="39"/>
        <v>—</v>
      </c>
      <c r="AE99" s="661">
        <f t="shared" si="39"/>
        <v>4.9681074062544753E-2</v>
      </c>
      <c r="AF99" s="661">
        <f t="shared" si="39"/>
        <v>5.7518685834696333E-2</v>
      </c>
      <c r="AG99" s="661">
        <f t="shared" si="39"/>
        <v>6.7799677833885366E-2</v>
      </c>
      <c r="AH99" s="661">
        <f t="shared" si="39"/>
        <v>5.2109815762028715E-2</v>
      </c>
      <c r="AI99" s="661" t="str">
        <f t="shared" si="39"/>
        <v>—</v>
      </c>
      <c r="AJ99" s="661" t="str">
        <f t="shared" si="39"/>
        <v>—</v>
      </c>
      <c r="AK99" s="661" t="str">
        <f t="shared" si="39"/>
        <v>—</v>
      </c>
      <c r="AL99" s="661" t="str">
        <f t="shared" si="39"/>
        <v>—</v>
      </c>
      <c r="AM99" s="661" t="str">
        <f t="shared" si="39"/>
        <v>—</v>
      </c>
      <c r="AN99" s="661" t="str">
        <f t="shared" si="39"/>
        <v>—</v>
      </c>
    </row>
    <row r="100" spans="1:40" s="1" customFormat="1">
      <c r="A100" s="440"/>
      <c r="B100" s="32" t="s">
        <v>78</v>
      </c>
      <c r="C100" s="439">
        <v>4866655</v>
      </c>
      <c r="D100" s="2">
        <v>596268</v>
      </c>
      <c r="E100" s="2">
        <v>4274961</v>
      </c>
      <c r="F100" s="2">
        <v>287978</v>
      </c>
      <c r="G100" s="2">
        <v>305807</v>
      </c>
      <c r="H100" s="2">
        <v>44481</v>
      </c>
      <c r="I100" s="439">
        <v>10376150</v>
      </c>
      <c r="J100" s="439">
        <v>0</v>
      </c>
      <c r="K100" s="2">
        <v>8787025</v>
      </c>
      <c r="L100" s="2">
        <v>2772563</v>
      </c>
      <c r="M100" s="2">
        <v>405173</v>
      </c>
      <c r="N100" s="439">
        <v>11964761</v>
      </c>
      <c r="O100" s="439">
        <v>0</v>
      </c>
      <c r="P100" s="2">
        <v>0</v>
      </c>
      <c r="Q100" s="2">
        <v>0</v>
      </c>
      <c r="R100" s="439">
        <v>0</v>
      </c>
      <c r="S100" s="439">
        <v>0</v>
      </c>
      <c r="T100" s="453">
        <v>0</v>
      </c>
      <c r="W100" s="120"/>
      <c r="X100" s="120"/>
      <c r="Y100" s="120"/>
      <c r="Z100" s="120"/>
      <c r="AA100" s="120"/>
      <c r="AB100" s="120"/>
      <c r="AC100" s="120"/>
      <c r="AD100" s="670"/>
      <c r="AE100" s="120"/>
      <c r="AF100" s="120"/>
      <c r="AG100" s="120"/>
      <c r="AH100" s="120"/>
      <c r="AI100" s="120"/>
      <c r="AJ100" s="120"/>
      <c r="AK100" s="120"/>
      <c r="AL100" s="120"/>
      <c r="AM100" s="120"/>
      <c r="AN100" s="120"/>
    </row>
    <row r="101" spans="1:40">
      <c r="A101" s="440"/>
      <c r="B101" s="32" t="s">
        <v>82</v>
      </c>
      <c r="C101" s="439">
        <v>453</v>
      </c>
      <c r="D101" s="2">
        <v>977</v>
      </c>
      <c r="E101" s="2">
        <v>10954</v>
      </c>
      <c r="F101" s="2">
        <v>13104</v>
      </c>
      <c r="G101" s="2">
        <v>147</v>
      </c>
      <c r="H101" s="2">
        <v>0</v>
      </c>
      <c r="I101" s="439">
        <v>25635</v>
      </c>
      <c r="J101" s="439">
        <v>0</v>
      </c>
      <c r="K101" s="2">
        <v>530099</v>
      </c>
      <c r="L101" s="2">
        <v>205660</v>
      </c>
      <c r="M101" s="2">
        <v>31914</v>
      </c>
      <c r="N101" s="439">
        <v>767673</v>
      </c>
      <c r="O101" s="439">
        <v>0</v>
      </c>
      <c r="P101" s="2">
        <v>0</v>
      </c>
      <c r="Q101" s="2">
        <v>0</v>
      </c>
      <c r="R101" s="439">
        <v>0</v>
      </c>
      <c r="S101" s="439">
        <v>0</v>
      </c>
      <c r="T101" s="453">
        <v>0</v>
      </c>
      <c r="W101" s="662"/>
      <c r="X101" s="662"/>
      <c r="Y101" s="662"/>
      <c r="Z101" s="662"/>
      <c r="AA101" s="662"/>
      <c r="AB101" s="662"/>
      <c r="AC101" s="662"/>
      <c r="AD101" s="671"/>
      <c r="AE101" s="662"/>
      <c r="AF101" s="662"/>
      <c r="AG101" s="662"/>
      <c r="AH101" s="662"/>
      <c r="AI101" s="662"/>
      <c r="AJ101" s="662"/>
      <c r="AK101" s="662"/>
      <c r="AL101" s="662"/>
      <c r="AM101" s="662"/>
      <c r="AN101" s="662"/>
    </row>
    <row r="102" spans="1:40">
      <c r="A102" s="440"/>
      <c r="B102" s="531" t="s">
        <v>88</v>
      </c>
      <c r="C102" s="531">
        <v>9.3082414923597421E-5</v>
      </c>
      <c r="D102" s="532">
        <v>1.6385249585756741E-3</v>
      </c>
      <c r="E102" s="532">
        <v>2.5623625572256683E-3</v>
      </c>
      <c r="F102" s="532">
        <v>4.5503475959969161E-2</v>
      </c>
      <c r="G102" s="532">
        <v>4.8069534052523323E-4</v>
      </c>
      <c r="H102" s="532">
        <v>0</v>
      </c>
      <c r="I102" s="531">
        <v>2.4705695272331258E-3</v>
      </c>
      <c r="J102" s="531">
        <v>0</v>
      </c>
      <c r="K102" s="532">
        <v>6.032747147071961E-2</v>
      </c>
      <c r="L102" s="532">
        <v>7.4176853690971128E-2</v>
      </c>
      <c r="M102" s="532">
        <v>7.8766354125274884E-2</v>
      </c>
      <c r="N102" s="531">
        <v>6.4161164606631085E-2</v>
      </c>
      <c r="O102" s="531">
        <v>0</v>
      </c>
      <c r="P102" s="532">
        <v>0</v>
      </c>
      <c r="Q102" s="532">
        <v>0</v>
      </c>
      <c r="R102" s="531">
        <v>0</v>
      </c>
      <c r="S102" s="531">
        <v>0</v>
      </c>
      <c r="T102" s="533">
        <v>0</v>
      </c>
      <c r="W102" s="661">
        <f t="shared" ref="W102:AN102" si="40">IF(C102&gt;0,C102,"—")</f>
        <v>9.3082414923597421E-5</v>
      </c>
      <c r="X102" s="661">
        <f t="shared" si="40"/>
        <v>1.6385249585756741E-3</v>
      </c>
      <c r="Y102" s="661">
        <f t="shared" si="40"/>
        <v>2.5623625572256683E-3</v>
      </c>
      <c r="Z102" s="661">
        <f t="shared" si="40"/>
        <v>4.5503475959969161E-2</v>
      </c>
      <c r="AA102" s="661">
        <f t="shared" si="40"/>
        <v>4.8069534052523323E-4</v>
      </c>
      <c r="AB102" s="661" t="str">
        <f t="shared" si="40"/>
        <v>—</v>
      </c>
      <c r="AC102" s="661">
        <f t="shared" si="40"/>
        <v>2.4705695272331258E-3</v>
      </c>
      <c r="AD102" s="669" t="str">
        <f t="shared" si="40"/>
        <v>—</v>
      </c>
      <c r="AE102" s="661">
        <f t="shared" si="40"/>
        <v>6.032747147071961E-2</v>
      </c>
      <c r="AF102" s="661">
        <f t="shared" si="40"/>
        <v>7.4176853690971128E-2</v>
      </c>
      <c r="AG102" s="661">
        <f t="shared" si="40"/>
        <v>7.8766354125274884E-2</v>
      </c>
      <c r="AH102" s="661">
        <f t="shared" si="40"/>
        <v>6.4161164606631085E-2</v>
      </c>
      <c r="AI102" s="661" t="str">
        <f t="shared" si="40"/>
        <v>—</v>
      </c>
      <c r="AJ102" s="661" t="str">
        <f t="shared" si="40"/>
        <v>—</v>
      </c>
      <c r="AK102" s="661" t="str">
        <f t="shared" si="40"/>
        <v>—</v>
      </c>
      <c r="AL102" s="661" t="str">
        <f t="shared" si="40"/>
        <v>—</v>
      </c>
      <c r="AM102" s="661" t="str">
        <f t="shared" si="40"/>
        <v>—</v>
      </c>
      <c r="AN102" s="661" t="str">
        <f t="shared" si="40"/>
        <v>—</v>
      </c>
    </row>
    <row r="103" spans="1:40">
      <c r="A103" s="440"/>
      <c r="B103" s="646" t="s">
        <v>951</v>
      </c>
      <c r="C103" s="649">
        <v>5.511354897643381E-5</v>
      </c>
      <c r="D103" s="651">
        <v>-1.1616251457124884E-4</v>
      </c>
      <c r="E103" s="651">
        <v>3.4946008568170154E-5</v>
      </c>
      <c r="F103" s="651">
        <v>1.4711868028559477E-2</v>
      </c>
      <c r="G103" s="651">
        <v>3.3787026044117046E-4</v>
      </c>
      <c r="H103" s="651" t="e">
        <v>#VALUE!</v>
      </c>
      <c r="I103" s="650">
        <v>4.9250431295344566E-4</v>
      </c>
      <c r="J103" s="650" t="e">
        <v>#VALUE!</v>
      </c>
      <c r="K103" s="651">
        <v>1.0646397408174857E-2</v>
      </c>
      <c r="L103" s="651">
        <v>1.6658167856274796E-2</v>
      </c>
      <c r="M103" s="651">
        <v>1.0966676291389518E-2</v>
      </c>
      <c r="N103" s="650">
        <v>1.2051348844602371E-2</v>
      </c>
      <c r="O103" s="650" t="e">
        <v>#VALUE!</v>
      </c>
      <c r="P103" s="651" t="e">
        <v>#VALUE!</v>
      </c>
      <c r="Q103" s="651" t="e">
        <v>#VALUE!</v>
      </c>
      <c r="R103" s="650" t="e">
        <v>#VALUE!</v>
      </c>
      <c r="S103" s="650" t="e">
        <v>#VALUE!</v>
      </c>
      <c r="T103" s="652" t="e">
        <v>#VALUE!</v>
      </c>
      <c r="W103" s="664">
        <f t="shared" ref="W103:AN103" si="41">IF(OR((W99="—"),(W102="—")),"—",(W102-W99))</f>
        <v>5.511354897643381E-5</v>
      </c>
      <c r="X103" s="664">
        <f t="shared" si="41"/>
        <v>-1.1616251457124884E-4</v>
      </c>
      <c r="Y103" s="664">
        <f t="shared" si="41"/>
        <v>3.4946008568170154E-5</v>
      </c>
      <c r="Z103" s="664">
        <f t="shared" si="41"/>
        <v>1.4711868028559477E-2</v>
      </c>
      <c r="AA103" s="664">
        <f t="shared" si="41"/>
        <v>3.3787026044117046E-4</v>
      </c>
      <c r="AB103" s="664" t="str">
        <f t="shared" si="41"/>
        <v>—</v>
      </c>
      <c r="AC103" s="664">
        <f t="shared" si="41"/>
        <v>4.9250431295344566E-4</v>
      </c>
      <c r="AD103" s="672" t="str">
        <f t="shared" si="41"/>
        <v>—</v>
      </c>
      <c r="AE103" s="664">
        <f t="shared" si="41"/>
        <v>1.0646397408174857E-2</v>
      </c>
      <c r="AF103" s="664">
        <f t="shared" si="41"/>
        <v>1.6658167856274796E-2</v>
      </c>
      <c r="AG103" s="664">
        <f t="shared" si="41"/>
        <v>1.0966676291389518E-2</v>
      </c>
      <c r="AH103" s="664">
        <f t="shared" si="41"/>
        <v>1.2051348844602371E-2</v>
      </c>
      <c r="AI103" s="664" t="str">
        <f t="shared" si="41"/>
        <v>—</v>
      </c>
      <c r="AJ103" s="664" t="str">
        <f t="shared" si="41"/>
        <v>—</v>
      </c>
      <c r="AK103" s="664" t="str">
        <f t="shared" si="41"/>
        <v>—</v>
      </c>
      <c r="AL103" s="664" t="str">
        <f t="shared" si="41"/>
        <v>—</v>
      </c>
      <c r="AM103" s="664" t="str">
        <f t="shared" si="41"/>
        <v>—</v>
      </c>
      <c r="AN103" s="664" t="str">
        <f t="shared" si="41"/>
        <v>—</v>
      </c>
    </row>
    <row r="104" spans="1:40">
      <c r="A104" s="452" t="s">
        <v>792</v>
      </c>
      <c r="B104" s="437" t="s">
        <v>77</v>
      </c>
      <c r="C104" s="441">
        <v>1647993.5</v>
      </c>
      <c r="D104" s="442">
        <v>1149050</v>
      </c>
      <c r="E104" s="442">
        <v>726211</v>
      </c>
      <c r="F104" s="442">
        <v>400839</v>
      </c>
      <c r="G104" s="442">
        <v>236613</v>
      </c>
      <c r="H104" s="442">
        <v>50272</v>
      </c>
      <c r="I104" s="441">
        <v>4210978.5</v>
      </c>
      <c r="J104" s="441">
        <v>0</v>
      </c>
      <c r="K104" s="442">
        <v>1668772</v>
      </c>
      <c r="L104" s="442">
        <v>992461.2</v>
      </c>
      <c r="M104" s="442">
        <v>347574</v>
      </c>
      <c r="N104" s="441">
        <v>3008807.1999999997</v>
      </c>
      <c r="O104" s="441">
        <v>0</v>
      </c>
      <c r="P104" s="442">
        <v>0</v>
      </c>
      <c r="Q104" s="442">
        <v>0</v>
      </c>
      <c r="R104" s="441">
        <v>0</v>
      </c>
      <c r="S104" s="441">
        <v>0</v>
      </c>
      <c r="T104" s="455">
        <v>0</v>
      </c>
    </row>
    <row r="105" spans="1:40">
      <c r="A105" s="440"/>
      <c r="B105" s="32" t="s">
        <v>81</v>
      </c>
      <c r="C105" s="439">
        <v>0</v>
      </c>
      <c r="D105" s="2">
        <v>2466</v>
      </c>
      <c r="E105" s="2">
        <v>1416</v>
      </c>
      <c r="F105" s="2">
        <v>149</v>
      </c>
      <c r="G105" s="2">
        <v>63</v>
      </c>
      <c r="H105" s="2">
        <v>14</v>
      </c>
      <c r="I105" s="439">
        <v>4108</v>
      </c>
      <c r="J105" s="439">
        <v>0</v>
      </c>
      <c r="K105" s="2">
        <v>60045</v>
      </c>
      <c r="L105" s="2">
        <v>134092</v>
      </c>
      <c r="M105" s="2">
        <v>60701</v>
      </c>
      <c r="N105" s="439">
        <v>254838</v>
      </c>
      <c r="O105" s="439">
        <v>0</v>
      </c>
      <c r="P105" s="2">
        <v>0</v>
      </c>
      <c r="Q105" s="2">
        <v>0</v>
      </c>
      <c r="R105" s="439">
        <v>0</v>
      </c>
      <c r="S105" s="439">
        <v>0</v>
      </c>
      <c r="T105" s="453">
        <v>0</v>
      </c>
    </row>
    <row r="106" spans="1:40">
      <c r="A106" s="440"/>
      <c r="B106" s="515" t="s">
        <v>83</v>
      </c>
      <c r="C106" s="515">
        <v>0</v>
      </c>
      <c r="D106" s="516">
        <v>2.1461207084112963E-3</v>
      </c>
      <c r="E106" s="516">
        <v>1.9498465322062045E-3</v>
      </c>
      <c r="F106" s="516">
        <v>3.7172031663585629E-4</v>
      </c>
      <c r="G106" s="516">
        <v>2.6625755981285899E-4</v>
      </c>
      <c r="H106" s="516">
        <v>2.7848504137492044E-4</v>
      </c>
      <c r="I106" s="515">
        <v>9.7554523253918298E-4</v>
      </c>
      <c r="J106" s="515">
        <v>0</v>
      </c>
      <c r="K106" s="516">
        <v>3.5981548108429434E-2</v>
      </c>
      <c r="L106" s="516">
        <v>0.13511057157700473</v>
      </c>
      <c r="M106" s="516">
        <v>0.17464194675090772</v>
      </c>
      <c r="N106" s="515">
        <v>8.4697351162945911E-2</v>
      </c>
      <c r="O106" s="515">
        <v>0</v>
      </c>
      <c r="P106" s="516">
        <v>0</v>
      </c>
      <c r="Q106" s="516">
        <v>0</v>
      </c>
      <c r="R106" s="515">
        <v>0</v>
      </c>
      <c r="S106" s="515">
        <v>0</v>
      </c>
      <c r="T106" s="517">
        <v>0</v>
      </c>
      <c r="W106" s="661" t="str">
        <f t="shared" ref="W106:AN106" si="42">IF(C106&gt;0,C106,"—")</f>
        <v>—</v>
      </c>
      <c r="X106" s="661">
        <f t="shared" si="42"/>
        <v>2.1461207084112963E-3</v>
      </c>
      <c r="Y106" s="661">
        <f t="shared" si="42"/>
        <v>1.9498465322062045E-3</v>
      </c>
      <c r="Z106" s="661">
        <f t="shared" si="42"/>
        <v>3.7172031663585629E-4</v>
      </c>
      <c r="AA106" s="661">
        <f t="shared" si="42"/>
        <v>2.6625755981285899E-4</v>
      </c>
      <c r="AB106" s="661">
        <f t="shared" si="42"/>
        <v>2.7848504137492044E-4</v>
      </c>
      <c r="AC106" s="661">
        <f t="shared" si="42"/>
        <v>9.7554523253918298E-4</v>
      </c>
      <c r="AD106" s="669" t="str">
        <f t="shared" si="42"/>
        <v>—</v>
      </c>
      <c r="AE106" s="661">
        <f t="shared" si="42"/>
        <v>3.5981548108429434E-2</v>
      </c>
      <c r="AF106" s="661">
        <f t="shared" si="42"/>
        <v>0.13511057157700473</v>
      </c>
      <c r="AG106" s="661">
        <f t="shared" si="42"/>
        <v>0.17464194675090772</v>
      </c>
      <c r="AH106" s="661">
        <f t="shared" si="42"/>
        <v>8.4697351162945911E-2</v>
      </c>
      <c r="AI106" s="661" t="str">
        <f t="shared" si="42"/>
        <v>—</v>
      </c>
      <c r="AJ106" s="661" t="str">
        <f t="shared" si="42"/>
        <v>—</v>
      </c>
      <c r="AK106" s="661" t="str">
        <f t="shared" si="42"/>
        <v>—</v>
      </c>
      <c r="AL106" s="661" t="str">
        <f t="shared" si="42"/>
        <v>—</v>
      </c>
      <c r="AM106" s="661" t="str">
        <f t="shared" si="42"/>
        <v>—</v>
      </c>
      <c r="AN106" s="661" t="str">
        <f t="shared" si="42"/>
        <v>—</v>
      </c>
    </row>
    <row r="107" spans="1:40">
      <c r="A107" s="440"/>
      <c r="B107" s="32" t="s">
        <v>78</v>
      </c>
      <c r="C107" s="439">
        <v>1686272</v>
      </c>
      <c r="D107" s="2">
        <v>1205624</v>
      </c>
      <c r="E107" s="2">
        <v>740673</v>
      </c>
      <c r="F107" s="2">
        <v>406185</v>
      </c>
      <c r="G107" s="2">
        <v>237228</v>
      </c>
      <c r="H107" s="2">
        <v>48729</v>
      </c>
      <c r="I107" s="439">
        <v>4324711</v>
      </c>
      <c r="J107" s="439">
        <v>0</v>
      </c>
      <c r="K107" s="2">
        <v>1753027</v>
      </c>
      <c r="L107" s="2">
        <v>1038554</v>
      </c>
      <c r="M107" s="2">
        <v>368031</v>
      </c>
      <c r="N107" s="439">
        <v>3159612</v>
      </c>
      <c r="O107" s="439">
        <v>0</v>
      </c>
      <c r="P107" s="2">
        <v>0</v>
      </c>
      <c r="Q107" s="2">
        <v>0</v>
      </c>
      <c r="R107" s="439">
        <v>0</v>
      </c>
      <c r="S107" s="439">
        <v>48014</v>
      </c>
      <c r="T107" s="453">
        <v>48014</v>
      </c>
      <c r="W107" s="120"/>
      <c r="X107" s="120"/>
      <c r="Y107" s="120"/>
      <c r="Z107" s="120"/>
      <c r="AA107" s="120"/>
      <c r="AB107" s="120"/>
      <c r="AC107" s="120"/>
      <c r="AD107" s="670"/>
      <c r="AE107" s="120"/>
      <c r="AF107" s="120"/>
      <c r="AG107" s="120"/>
      <c r="AH107" s="120"/>
      <c r="AI107" s="120"/>
      <c r="AJ107" s="120"/>
      <c r="AK107" s="120"/>
      <c r="AL107" s="120"/>
      <c r="AM107" s="120"/>
      <c r="AN107" s="120"/>
    </row>
    <row r="108" spans="1:40">
      <c r="A108" s="440"/>
      <c r="B108" s="32" t="s">
        <v>82</v>
      </c>
      <c r="C108" s="439">
        <v>554</v>
      </c>
      <c r="D108" s="2">
        <v>2921</v>
      </c>
      <c r="E108" s="2">
        <v>1026</v>
      </c>
      <c r="F108" s="2">
        <v>133</v>
      </c>
      <c r="G108" s="2">
        <v>40</v>
      </c>
      <c r="H108" s="2">
        <v>84</v>
      </c>
      <c r="I108" s="439">
        <v>4758</v>
      </c>
      <c r="J108" s="439">
        <v>0</v>
      </c>
      <c r="K108" s="2">
        <v>61112</v>
      </c>
      <c r="L108" s="2">
        <v>147268</v>
      </c>
      <c r="M108" s="2">
        <v>67965</v>
      </c>
      <c r="N108" s="439">
        <v>276345</v>
      </c>
      <c r="O108" s="439">
        <v>0</v>
      </c>
      <c r="P108" s="2">
        <v>0</v>
      </c>
      <c r="Q108" s="2">
        <v>0</v>
      </c>
      <c r="R108" s="439">
        <v>0</v>
      </c>
      <c r="S108" s="439">
        <v>0</v>
      </c>
      <c r="T108" s="453">
        <v>0</v>
      </c>
      <c r="W108" s="662"/>
      <c r="X108" s="662"/>
      <c r="Y108" s="662"/>
      <c r="Z108" s="662"/>
      <c r="AA108" s="662"/>
      <c r="AB108" s="662"/>
      <c r="AC108" s="662"/>
      <c r="AD108" s="671"/>
      <c r="AE108" s="662"/>
      <c r="AF108" s="662"/>
      <c r="AG108" s="662"/>
      <c r="AH108" s="662"/>
      <c r="AI108" s="662"/>
      <c r="AJ108" s="662"/>
      <c r="AK108" s="662"/>
      <c r="AL108" s="662"/>
      <c r="AM108" s="662"/>
      <c r="AN108" s="662"/>
    </row>
    <row r="109" spans="1:40">
      <c r="A109" s="440"/>
      <c r="B109" s="531" t="s">
        <v>88</v>
      </c>
      <c r="C109" s="531">
        <v>3.2853537270381055E-4</v>
      </c>
      <c r="D109" s="532">
        <v>2.422811755572218E-3</v>
      </c>
      <c r="E109" s="532">
        <v>1.3852266789797928E-3</v>
      </c>
      <c r="F109" s="532">
        <v>3.2743700530546427E-4</v>
      </c>
      <c r="G109" s="532">
        <v>1.6861416021717504E-4</v>
      </c>
      <c r="H109" s="532">
        <v>1.72381949147325E-3</v>
      </c>
      <c r="I109" s="531">
        <v>1.1001891224639057E-3</v>
      </c>
      <c r="J109" s="531">
        <v>0</v>
      </c>
      <c r="K109" s="532">
        <v>3.4860843558028487E-2</v>
      </c>
      <c r="L109" s="532">
        <v>0.14180100408837673</v>
      </c>
      <c r="M109" s="532">
        <v>0.18467194339607262</v>
      </c>
      <c r="N109" s="531">
        <v>8.7461688333884027E-2</v>
      </c>
      <c r="O109" s="531">
        <v>0</v>
      </c>
      <c r="P109" s="532">
        <v>0</v>
      </c>
      <c r="Q109" s="532">
        <v>0</v>
      </c>
      <c r="R109" s="531">
        <v>0</v>
      </c>
      <c r="S109" s="531">
        <v>0</v>
      </c>
      <c r="T109" s="533">
        <v>0</v>
      </c>
      <c r="W109" s="661">
        <f t="shared" ref="W109:AN109" si="43">IF(C109&gt;0,C109,"—")</f>
        <v>3.2853537270381055E-4</v>
      </c>
      <c r="X109" s="661">
        <f t="shared" si="43"/>
        <v>2.422811755572218E-3</v>
      </c>
      <c r="Y109" s="661">
        <f t="shared" si="43"/>
        <v>1.3852266789797928E-3</v>
      </c>
      <c r="Z109" s="661">
        <f t="shared" si="43"/>
        <v>3.2743700530546427E-4</v>
      </c>
      <c r="AA109" s="661">
        <f t="shared" si="43"/>
        <v>1.6861416021717504E-4</v>
      </c>
      <c r="AB109" s="661">
        <f t="shared" si="43"/>
        <v>1.72381949147325E-3</v>
      </c>
      <c r="AC109" s="661">
        <f t="shared" si="43"/>
        <v>1.1001891224639057E-3</v>
      </c>
      <c r="AD109" s="669" t="str">
        <f t="shared" si="43"/>
        <v>—</v>
      </c>
      <c r="AE109" s="661">
        <f t="shared" si="43"/>
        <v>3.4860843558028487E-2</v>
      </c>
      <c r="AF109" s="661">
        <f t="shared" si="43"/>
        <v>0.14180100408837673</v>
      </c>
      <c r="AG109" s="661">
        <f t="shared" si="43"/>
        <v>0.18467194339607262</v>
      </c>
      <c r="AH109" s="661">
        <f t="shared" si="43"/>
        <v>8.7461688333884027E-2</v>
      </c>
      <c r="AI109" s="661" t="str">
        <f t="shared" si="43"/>
        <v>—</v>
      </c>
      <c r="AJ109" s="661" t="str">
        <f t="shared" si="43"/>
        <v>—</v>
      </c>
      <c r="AK109" s="661" t="str">
        <f t="shared" si="43"/>
        <v>—</v>
      </c>
      <c r="AL109" s="661" t="str">
        <f t="shared" si="43"/>
        <v>—</v>
      </c>
      <c r="AM109" s="661" t="str">
        <f t="shared" si="43"/>
        <v>—</v>
      </c>
      <c r="AN109" s="661" t="str">
        <f t="shared" si="43"/>
        <v>—</v>
      </c>
    </row>
    <row r="110" spans="1:40">
      <c r="A110" s="440"/>
      <c r="B110" s="646" t="s">
        <v>951</v>
      </c>
      <c r="C110" s="649" t="e">
        <v>#VALUE!</v>
      </c>
      <c r="D110" s="651">
        <v>2.7669104716092179E-4</v>
      </c>
      <c r="E110" s="651">
        <v>-5.6461985322641176E-4</v>
      </c>
      <c r="F110" s="651">
        <v>-4.4283311330392018E-5</v>
      </c>
      <c r="G110" s="651">
        <v>-9.7643399595683948E-5</v>
      </c>
      <c r="H110" s="651">
        <v>1.4453344500983296E-3</v>
      </c>
      <c r="I110" s="650">
        <v>1.2464388992472269E-4</v>
      </c>
      <c r="J110" s="650" t="e">
        <v>#VALUE!</v>
      </c>
      <c r="K110" s="651">
        <v>-1.1207045504009472E-3</v>
      </c>
      <c r="L110" s="651">
        <v>6.6904325113719965E-3</v>
      </c>
      <c r="M110" s="651">
        <v>1.0029996645164907E-2</v>
      </c>
      <c r="N110" s="650">
        <v>2.7643371709381165E-3</v>
      </c>
      <c r="O110" s="650" t="e">
        <v>#VALUE!</v>
      </c>
      <c r="P110" s="651" t="e">
        <v>#VALUE!</v>
      </c>
      <c r="Q110" s="651" t="e">
        <v>#VALUE!</v>
      </c>
      <c r="R110" s="650" t="e">
        <v>#VALUE!</v>
      </c>
      <c r="S110" s="650" t="e">
        <v>#VALUE!</v>
      </c>
      <c r="T110" s="652" t="e">
        <v>#VALUE!</v>
      </c>
      <c r="W110" s="664" t="str">
        <f t="shared" ref="W110:AN110" si="44">IF(OR((W106="—"),(W109="—")),"—",(W109-W106))</f>
        <v>—</v>
      </c>
      <c r="X110" s="664">
        <f t="shared" si="44"/>
        <v>2.7669104716092179E-4</v>
      </c>
      <c r="Y110" s="664">
        <f t="shared" si="44"/>
        <v>-5.6461985322641176E-4</v>
      </c>
      <c r="Z110" s="664">
        <f t="shared" si="44"/>
        <v>-4.4283311330392018E-5</v>
      </c>
      <c r="AA110" s="664">
        <f t="shared" si="44"/>
        <v>-9.7643399595683948E-5</v>
      </c>
      <c r="AB110" s="664">
        <f t="shared" si="44"/>
        <v>1.4453344500983296E-3</v>
      </c>
      <c r="AC110" s="664">
        <f t="shared" si="44"/>
        <v>1.2464388992472269E-4</v>
      </c>
      <c r="AD110" s="672" t="str">
        <f t="shared" si="44"/>
        <v>—</v>
      </c>
      <c r="AE110" s="664">
        <f t="shared" si="44"/>
        <v>-1.1207045504009472E-3</v>
      </c>
      <c r="AF110" s="664">
        <f t="shared" si="44"/>
        <v>6.6904325113719965E-3</v>
      </c>
      <c r="AG110" s="664">
        <f t="shared" si="44"/>
        <v>1.0029996645164907E-2</v>
      </c>
      <c r="AH110" s="664">
        <f t="shared" si="44"/>
        <v>2.7643371709381165E-3</v>
      </c>
      <c r="AI110" s="664" t="str">
        <f t="shared" si="44"/>
        <v>—</v>
      </c>
      <c r="AJ110" s="664" t="str">
        <f t="shared" si="44"/>
        <v>—</v>
      </c>
      <c r="AK110" s="664" t="str">
        <f t="shared" si="44"/>
        <v>—</v>
      </c>
      <c r="AL110" s="664" t="str">
        <f t="shared" si="44"/>
        <v>—</v>
      </c>
      <c r="AM110" s="664" t="str">
        <f t="shared" si="44"/>
        <v>—</v>
      </c>
      <c r="AN110" s="664" t="str">
        <f t="shared" si="44"/>
        <v>—</v>
      </c>
    </row>
    <row r="111" spans="1:40">
      <c r="A111" s="452" t="s">
        <v>771</v>
      </c>
      <c r="B111" s="437" t="s">
        <v>77</v>
      </c>
      <c r="C111" s="441">
        <v>614624</v>
      </c>
      <c r="D111" s="442">
        <v>0</v>
      </c>
      <c r="E111" s="442">
        <v>252313</v>
      </c>
      <c r="F111" s="442">
        <v>0</v>
      </c>
      <c r="G111" s="442">
        <v>0</v>
      </c>
      <c r="H111" s="442">
        <v>554133.1</v>
      </c>
      <c r="I111" s="441">
        <v>1421070.1</v>
      </c>
      <c r="J111" s="441">
        <v>84369</v>
      </c>
      <c r="K111" s="442">
        <v>0</v>
      </c>
      <c r="L111" s="442">
        <v>55733</v>
      </c>
      <c r="M111" s="442">
        <v>324518</v>
      </c>
      <c r="N111" s="441">
        <v>464620</v>
      </c>
      <c r="O111" s="441">
        <v>0</v>
      </c>
      <c r="P111" s="442">
        <v>0</v>
      </c>
      <c r="Q111" s="442">
        <v>0</v>
      </c>
      <c r="R111" s="441">
        <v>0</v>
      </c>
      <c r="S111" s="441">
        <v>0</v>
      </c>
      <c r="T111" s="455">
        <v>0</v>
      </c>
    </row>
    <row r="112" spans="1:40">
      <c r="A112" s="440"/>
      <c r="B112" s="32" t="s">
        <v>81</v>
      </c>
      <c r="C112" s="439">
        <v>2612</v>
      </c>
      <c r="D112" s="2">
        <v>0</v>
      </c>
      <c r="E112" s="2">
        <v>4357</v>
      </c>
      <c r="F112" s="2">
        <v>0</v>
      </c>
      <c r="G112" s="2">
        <v>0</v>
      </c>
      <c r="H112" s="2">
        <v>9052</v>
      </c>
      <c r="I112" s="439">
        <v>16021</v>
      </c>
      <c r="J112" s="439">
        <v>3775</v>
      </c>
      <c r="K112" s="2">
        <v>0</v>
      </c>
      <c r="L112" s="2">
        <v>4654</v>
      </c>
      <c r="M112" s="2">
        <v>17003.599999999999</v>
      </c>
      <c r="N112" s="439">
        <v>25432.6</v>
      </c>
      <c r="O112" s="439">
        <v>0</v>
      </c>
      <c r="P112" s="2">
        <v>0</v>
      </c>
      <c r="Q112" s="2">
        <v>0</v>
      </c>
      <c r="R112" s="439">
        <v>0</v>
      </c>
      <c r="S112" s="439">
        <v>0</v>
      </c>
      <c r="T112" s="453">
        <v>0</v>
      </c>
    </row>
    <row r="113" spans="1:40">
      <c r="A113" s="440"/>
      <c r="B113" s="515" t="s">
        <v>83</v>
      </c>
      <c r="C113" s="515">
        <v>4.2497526943301922E-3</v>
      </c>
      <c r="D113" s="516">
        <v>0</v>
      </c>
      <c r="E113" s="516">
        <v>1.7268234296290718E-2</v>
      </c>
      <c r="F113" s="516">
        <v>0</v>
      </c>
      <c r="G113" s="516">
        <v>0</v>
      </c>
      <c r="H113" s="516">
        <v>1.6335425550287469E-2</v>
      </c>
      <c r="I113" s="515">
        <v>1.127389845159644E-2</v>
      </c>
      <c r="J113" s="515">
        <v>4.4743922530787378E-2</v>
      </c>
      <c r="K113" s="516">
        <v>0</v>
      </c>
      <c r="L113" s="516">
        <v>8.3505284122512694E-2</v>
      </c>
      <c r="M113" s="516">
        <v>5.2396477237009964E-2</v>
      </c>
      <c r="N113" s="515">
        <v>5.4738495975205539E-2</v>
      </c>
      <c r="O113" s="515">
        <v>0</v>
      </c>
      <c r="P113" s="516">
        <v>0</v>
      </c>
      <c r="Q113" s="516">
        <v>0</v>
      </c>
      <c r="R113" s="515">
        <v>0</v>
      </c>
      <c r="S113" s="515">
        <v>0</v>
      </c>
      <c r="T113" s="517">
        <v>0</v>
      </c>
      <c r="W113" s="661">
        <f t="shared" ref="W113:AN113" si="45">IF(C113&gt;0,C113,"—")</f>
        <v>4.2497526943301922E-3</v>
      </c>
      <c r="X113" s="661" t="str">
        <f t="shared" si="45"/>
        <v>—</v>
      </c>
      <c r="Y113" s="661">
        <f t="shared" si="45"/>
        <v>1.7268234296290718E-2</v>
      </c>
      <c r="Z113" s="661" t="str">
        <f t="shared" si="45"/>
        <v>—</v>
      </c>
      <c r="AA113" s="661" t="str">
        <f t="shared" si="45"/>
        <v>—</v>
      </c>
      <c r="AB113" s="661">
        <f t="shared" si="45"/>
        <v>1.6335425550287469E-2</v>
      </c>
      <c r="AC113" s="661">
        <f t="shared" si="45"/>
        <v>1.127389845159644E-2</v>
      </c>
      <c r="AD113" s="669">
        <f t="shared" si="45"/>
        <v>4.4743922530787378E-2</v>
      </c>
      <c r="AE113" s="661" t="str">
        <f t="shared" si="45"/>
        <v>—</v>
      </c>
      <c r="AF113" s="661">
        <f t="shared" si="45"/>
        <v>8.3505284122512694E-2</v>
      </c>
      <c r="AG113" s="661">
        <f t="shared" si="45"/>
        <v>5.2396477237009964E-2</v>
      </c>
      <c r="AH113" s="661">
        <f t="shared" si="45"/>
        <v>5.4738495975205539E-2</v>
      </c>
      <c r="AI113" s="661" t="str">
        <f t="shared" si="45"/>
        <v>—</v>
      </c>
      <c r="AJ113" s="661" t="str">
        <f t="shared" si="45"/>
        <v>—</v>
      </c>
      <c r="AK113" s="661" t="str">
        <f t="shared" si="45"/>
        <v>—</v>
      </c>
      <c r="AL113" s="661" t="str">
        <f t="shared" si="45"/>
        <v>—</v>
      </c>
      <c r="AM113" s="661" t="str">
        <f t="shared" si="45"/>
        <v>—</v>
      </c>
      <c r="AN113" s="661" t="str">
        <f t="shared" si="45"/>
        <v>—</v>
      </c>
    </row>
    <row r="114" spans="1:40">
      <c r="A114" s="440"/>
      <c r="B114" s="32" t="s">
        <v>78</v>
      </c>
      <c r="C114" s="439">
        <v>628859</v>
      </c>
      <c r="D114" s="2">
        <v>0</v>
      </c>
      <c r="E114" s="2">
        <v>247807</v>
      </c>
      <c r="F114" s="2">
        <v>0</v>
      </c>
      <c r="G114" s="2">
        <v>0</v>
      </c>
      <c r="H114" s="2">
        <v>559356.1</v>
      </c>
      <c r="I114" s="439">
        <v>1436022.1</v>
      </c>
      <c r="J114" s="439">
        <v>84169</v>
      </c>
      <c r="K114" s="2">
        <v>0</v>
      </c>
      <c r="L114" s="2">
        <v>56236</v>
      </c>
      <c r="M114" s="2">
        <v>335757.5</v>
      </c>
      <c r="N114" s="439">
        <v>476162.5</v>
      </c>
      <c r="O114" s="439">
        <v>0</v>
      </c>
      <c r="P114" s="2">
        <v>0</v>
      </c>
      <c r="Q114" s="2">
        <v>0</v>
      </c>
      <c r="R114" s="439">
        <v>0</v>
      </c>
      <c r="S114" s="439">
        <v>0</v>
      </c>
      <c r="T114" s="453">
        <v>0</v>
      </c>
      <c r="W114" s="120"/>
      <c r="X114" s="120"/>
      <c r="Y114" s="120"/>
      <c r="Z114" s="120"/>
      <c r="AA114" s="120"/>
      <c r="AB114" s="120"/>
      <c r="AC114" s="120"/>
      <c r="AD114" s="670"/>
      <c r="AE114" s="120"/>
      <c r="AF114" s="120"/>
      <c r="AG114" s="120"/>
      <c r="AH114" s="120"/>
      <c r="AI114" s="120"/>
      <c r="AJ114" s="120"/>
      <c r="AK114" s="120"/>
      <c r="AL114" s="120"/>
      <c r="AM114" s="120"/>
      <c r="AN114" s="120"/>
    </row>
    <row r="115" spans="1:40">
      <c r="A115" s="440"/>
      <c r="B115" s="32" t="s">
        <v>82</v>
      </c>
      <c r="C115" s="439">
        <v>2593</v>
      </c>
      <c r="D115" s="2">
        <v>0</v>
      </c>
      <c r="E115" s="2">
        <v>3836</v>
      </c>
      <c r="F115" s="2">
        <v>0</v>
      </c>
      <c r="G115" s="2">
        <v>0</v>
      </c>
      <c r="H115" s="2">
        <v>8052</v>
      </c>
      <c r="I115" s="439">
        <v>14481</v>
      </c>
      <c r="J115" s="439">
        <v>3453</v>
      </c>
      <c r="K115" s="2">
        <v>0</v>
      </c>
      <c r="L115" s="2">
        <v>4208</v>
      </c>
      <c r="M115" s="2">
        <v>17577.3</v>
      </c>
      <c r="N115" s="439">
        <v>25238.3</v>
      </c>
      <c r="O115" s="439">
        <v>0</v>
      </c>
      <c r="P115" s="2">
        <v>0</v>
      </c>
      <c r="Q115" s="2">
        <v>0</v>
      </c>
      <c r="R115" s="439">
        <v>0</v>
      </c>
      <c r="S115" s="439">
        <v>0</v>
      </c>
      <c r="T115" s="453">
        <v>0</v>
      </c>
      <c r="W115" s="662"/>
      <c r="X115" s="662"/>
      <c r="Y115" s="662"/>
      <c r="Z115" s="662"/>
      <c r="AA115" s="662"/>
      <c r="AB115" s="662"/>
      <c r="AC115" s="662"/>
      <c r="AD115" s="671"/>
      <c r="AE115" s="662"/>
      <c r="AF115" s="662"/>
      <c r="AG115" s="662"/>
      <c r="AH115" s="662"/>
      <c r="AI115" s="662"/>
      <c r="AJ115" s="662"/>
      <c r="AK115" s="662"/>
      <c r="AL115" s="662"/>
      <c r="AM115" s="662"/>
      <c r="AN115" s="662"/>
    </row>
    <row r="116" spans="1:40">
      <c r="A116" s="440"/>
      <c r="B116" s="531" t="s">
        <v>88</v>
      </c>
      <c r="C116" s="531">
        <v>4.12334084429101E-3</v>
      </c>
      <c r="D116" s="532">
        <v>0</v>
      </c>
      <c r="E116" s="532">
        <v>1.5479788706533713E-2</v>
      </c>
      <c r="F116" s="532">
        <v>0</v>
      </c>
      <c r="G116" s="532">
        <v>0</v>
      </c>
      <c r="H116" s="532">
        <v>1.4395123249750919E-2</v>
      </c>
      <c r="I116" s="531">
        <v>1.0084106644319749E-2</v>
      </c>
      <c r="J116" s="531">
        <v>4.1024605258468079E-2</v>
      </c>
      <c r="K116" s="532">
        <v>0</v>
      </c>
      <c r="L116" s="532">
        <v>7.4827512625364537E-2</v>
      </c>
      <c r="M116" s="532">
        <v>5.235117607201626E-2</v>
      </c>
      <c r="N116" s="531">
        <v>5.3003543958207541E-2</v>
      </c>
      <c r="O116" s="531">
        <v>0</v>
      </c>
      <c r="P116" s="532">
        <v>0</v>
      </c>
      <c r="Q116" s="532">
        <v>0</v>
      </c>
      <c r="R116" s="531">
        <v>0</v>
      </c>
      <c r="S116" s="531">
        <v>0</v>
      </c>
      <c r="T116" s="533">
        <v>0</v>
      </c>
      <c r="W116" s="661">
        <f t="shared" ref="W116:AN116" si="46">IF(C116&gt;0,C116,"—")</f>
        <v>4.12334084429101E-3</v>
      </c>
      <c r="X116" s="661" t="str">
        <f t="shared" si="46"/>
        <v>—</v>
      </c>
      <c r="Y116" s="661">
        <f t="shared" si="46"/>
        <v>1.5479788706533713E-2</v>
      </c>
      <c r="Z116" s="661" t="str">
        <f t="shared" si="46"/>
        <v>—</v>
      </c>
      <c r="AA116" s="661" t="str">
        <f t="shared" si="46"/>
        <v>—</v>
      </c>
      <c r="AB116" s="661">
        <f t="shared" si="46"/>
        <v>1.4395123249750919E-2</v>
      </c>
      <c r="AC116" s="661">
        <f t="shared" si="46"/>
        <v>1.0084106644319749E-2</v>
      </c>
      <c r="AD116" s="669">
        <f t="shared" si="46"/>
        <v>4.1024605258468079E-2</v>
      </c>
      <c r="AE116" s="661" t="str">
        <f t="shared" si="46"/>
        <v>—</v>
      </c>
      <c r="AF116" s="661">
        <f t="shared" si="46"/>
        <v>7.4827512625364537E-2</v>
      </c>
      <c r="AG116" s="661">
        <f t="shared" si="46"/>
        <v>5.235117607201626E-2</v>
      </c>
      <c r="AH116" s="661">
        <f t="shared" si="46"/>
        <v>5.3003543958207541E-2</v>
      </c>
      <c r="AI116" s="661" t="str">
        <f t="shared" si="46"/>
        <v>—</v>
      </c>
      <c r="AJ116" s="661" t="str">
        <f t="shared" si="46"/>
        <v>—</v>
      </c>
      <c r="AK116" s="661" t="str">
        <f t="shared" si="46"/>
        <v>—</v>
      </c>
      <c r="AL116" s="661" t="str">
        <f t="shared" si="46"/>
        <v>—</v>
      </c>
      <c r="AM116" s="661" t="str">
        <f t="shared" si="46"/>
        <v>—</v>
      </c>
      <c r="AN116" s="661" t="str">
        <f t="shared" si="46"/>
        <v>—</v>
      </c>
    </row>
    <row r="117" spans="1:40">
      <c r="A117" s="440"/>
      <c r="B117" s="646" t="s">
        <v>951</v>
      </c>
      <c r="C117" s="649">
        <v>-1.2641185003918216E-4</v>
      </c>
      <c r="D117" s="651" t="e">
        <v>#VALUE!</v>
      </c>
      <c r="E117" s="651">
        <v>-1.788445589757005E-3</v>
      </c>
      <c r="F117" s="651" t="e">
        <v>#VALUE!</v>
      </c>
      <c r="G117" s="651" t="e">
        <v>#VALUE!</v>
      </c>
      <c r="H117" s="651">
        <v>-1.9403023005365502E-3</v>
      </c>
      <c r="I117" s="650">
        <v>-1.1897918072766907E-3</v>
      </c>
      <c r="J117" s="650">
        <v>-3.7193172723192988E-3</v>
      </c>
      <c r="K117" s="651" t="e">
        <v>#VALUE!</v>
      </c>
      <c r="L117" s="651">
        <v>-8.6777714971481568E-3</v>
      </c>
      <c r="M117" s="651">
        <v>-4.5301164993703791E-5</v>
      </c>
      <c r="N117" s="650">
        <v>-1.7349520169979982E-3</v>
      </c>
      <c r="O117" s="650" t="e">
        <v>#VALUE!</v>
      </c>
      <c r="P117" s="651" t="e">
        <v>#VALUE!</v>
      </c>
      <c r="Q117" s="651" t="e">
        <v>#VALUE!</v>
      </c>
      <c r="R117" s="650" t="e">
        <v>#VALUE!</v>
      </c>
      <c r="S117" s="650" t="e">
        <v>#VALUE!</v>
      </c>
      <c r="T117" s="652" t="e">
        <v>#VALUE!</v>
      </c>
      <c r="W117" s="664">
        <f t="shared" ref="W117:AN117" si="47">IF(OR((W113="—"),(W116="—")),"—",(W116-W113))</f>
        <v>-1.2641185003918216E-4</v>
      </c>
      <c r="X117" s="664" t="str">
        <f t="shared" si="47"/>
        <v>—</v>
      </c>
      <c r="Y117" s="664">
        <f t="shared" si="47"/>
        <v>-1.788445589757005E-3</v>
      </c>
      <c r="Z117" s="664" t="str">
        <f t="shared" si="47"/>
        <v>—</v>
      </c>
      <c r="AA117" s="664" t="str">
        <f t="shared" si="47"/>
        <v>—</v>
      </c>
      <c r="AB117" s="664">
        <f t="shared" si="47"/>
        <v>-1.9403023005365502E-3</v>
      </c>
      <c r="AC117" s="664">
        <f t="shared" si="47"/>
        <v>-1.1897918072766907E-3</v>
      </c>
      <c r="AD117" s="672">
        <f t="shared" si="47"/>
        <v>-3.7193172723192988E-3</v>
      </c>
      <c r="AE117" s="664" t="str">
        <f t="shared" si="47"/>
        <v>—</v>
      </c>
      <c r="AF117" s="664">
        <f t="shared" si="47"/>
        <v>-8.6777714971481568E-3</v>
      </c>
      <c r="AG117" s="664">
        <f t="shared" si="47"/>
        <v>-4.5301164993703791E-5</v>
      </c>
      <c r="AH117" s="664">
        <f t="shared" si="47"/>
        <v>-1.7349520169979982E-3</v>
      </c>
      <c r="AI117" s="664" t="str">
        <f t="shared" si="47"/>
        <v>—</v>
      </c>
      <c r="AJ117" s="664" t="str">
        <f t="shared" si="47"/>
        <v>—</v>
      </c>
      <c r="AK117" s="664" t="str">
        <f t="shared" si="47"/>
        <v>—</v>
      </c>
      <c r="AL117" s="664" t="str">
        <f t="shared" si="47"/>
        <v>—</v>
      </c>
      <c r="AM117" s="664" t="str">
        <f t="shared" si="47"/>
        <v>—</v>
      </c>
      <c r="AN117" s="664" t="str">
        <f t="shared" si="47"/>
        <v>—</v>
      </c>
    </row>
    <row r="118" spans="1:40">
      <c r="A118" s="452" t="s">
        <v>79</v>
      </c>
      <c r="B118" s="437"/>
      <c r="C118" s="441">
        <v>16807518.5</v>
      </c>
      <c r="D118" s="442">
        <v>5205188</v>
      </c>
      <c r="E118" s="442">
        <v>12864173</v>
      </c>
      <c r="F118" s="442">
        <v>3148944</v>
      </c>
      <c r="G118" s="442">
        <v>2307195</v>
      </c>
      <c r="H118" s="442">
        <v>1459266.1</v>
      </c>
      <c r="I118" s="441">
        <v>41792284.600000001</v>
      </c>
      <c r="J118" s="441">
        <v>255076</v>
      </c>
      <c r="K118" s="442">
        <v>15974617.4</v>
      </c>
      <c r="L118" s="442">
        <v>10250678.219999999</v>
      </c>
      <c r="M118" s="442">
        <v>3171338.63</v>
      </c>
      <c r="N118" s="441">
        <v>29651710.249999996</v>
      </c>
      <c r="O118" s="441">
        <v>3040769.8</v>
      </c>
      <c r="P118" s="442">
        <v>272762.40000000002</v>
      </c>
      <c r="Q118" s="442">
        <v>485678</v>
      </c>
      <c r="R118" s="441">
        <v>3799210.1999999997</v>
      </c>
      <c r="S118" s="441">
        <v>10692</v>
      </c>
      <c r="T118" s="455">
        <v>10692</v>
      </c>
    </row>
    <row r="119" spans="1:40">
      <c r="A119" s="452" t="s">
        <v>89</v>
      </c>
      <c r="B119" s="32"/>
      <c r="C119" s="439">
        <v>11767</v>
      </c>
      <c r="D119" s="2">
        <v>22523</v>
      </c>
      <c r="E119" s="2">
        <v>56875</v>
      </c>
      <c r="F119" s="2">
        <v>21255</v>
      </c>
      <c r="G119" s="2">
        <v>16988</v>
      </c>
      <c r="H119" s="2">
        <v>20421</v>
      </c>
      <c r="I119" s="439">
        <v>149829</v>
      </c>
      <c r="J119" s="439">
        <v>7454</v>
      </c>
      <c r="K119" s="2">
        <v>606894</v>
      </c>
      <c r="L119" s="2">
        <v>591730.1</v>
      </c>
      <c r="M119" s="2">
        <v>223401.9</v>
      </c>
      <c r="N119" s="439">
        <v>1429480</v>
      </c>
      <c r="O119" s="439">
        <v>109024.9</v>
      </c>
      <c r="P119" s="2">
        <v>11606.6</v>
      </c>
      <c r="Q119" s="2">
        <v>35050</v>
      </c>
      <c r="R119" s="439">
        <v>155681.5</v>
      </c>
      <c r="S119" s="439">
        <v>0</v>
      </c>
      <c r="T119" s="453">
        <v>0</v>
      </c>
    </row>
    <row r="120" spans="1:40">
      <c r="A120" s="452" t="s">
        <v>91</v>
      </c>
      <c r="B120" s="515"/>
      <c r="C120" s="515">
        <v>7.0010334958131983E-4</v>
      </c>
      <c r="D120" s="516">
        <v>4.3270291101877587E-3</v>
      </c>
      <c r="E120" s="516">
        <v>4.4211936515468194E-3</v>
      </c>
      <c r="F120" s="516">
        <v>6.7498818651586055E-3</v>
      </c>
      <c r="G120" s="516">
        <v>7.3630534046753744E-3</v>
      </c>
      <c r="H120" s="516">
        <v>1.3994020693004518E-2</v>
      </c>
      <c r="I120" s="515">
        <v>3.5850875690102858E-3</v>
      </c>
      <c r="J120" s="515">
        <v>2.9222663049444087E-2</v>
      </c>
      <c r="K120" s="516">
        <v>3.7991144626725142E-2</v>
      </c>
      <c r="L120" s="516">
        <v>5.7725946254510371E-2</v>
      </c>
      <c r="M120" s="516">
        <v>7.0444038327121192E-2</v>
      </c>
      <c r="N120" s="515">
        <v>4.8209023626217318E-2</v>
      </c>
      <c r="O120" s="515">
        <v>3.5854374770493969E-2</v>
      </c>
      <c r="P120" s="516">
        <v>4.2552052628954722E-2</v>
      </c>
      <c r="Q120" s="516">
        <v>7.2167156016949507E-2</v>
      </c>
      <c r="R120" s="515">
        <v>4.0977332604550283E-2</v>
      </c>
      <c r="S120" s="515">
        <v>0</v>
      </c>
      <c r="T120" s="517">
        <v>0</v>
      </c>
      <c r="W120" s="661">
        <f t="shared" ref="W120:AN120" si="48">IF(C120&gt;0,C120,"—")</f>
        <v>7.0010334958131983E-4</v>
      </c>
      <c r="X120" s="661">
        <f t="shared" si="48"/>
        <v>4.3270291101877587E-3</v>
      </c>
      <c r="Y120" s="661">
        <f t="shared" si="48"/>
        <v>4.4211936515468194E-3</v>
      </c>
      <c r="Z120" s="661">
        <f t="shared" si="48"/>
        <v>6.7498818651586055E-3</v>
      </c>
      <c r="AA120" s="661">
        <f t="shared" si="48"/>
        <v>7.3630534046753744E-3</v>
      </c>
      <c r="AB120" s="661">
        <f t="shared" si="48"/>
        <v>1.3994020693004518E-2</v>
      </c>
      <c r="AC120" s="661">
        <f t="shared" si="48"/>
        <v>3.5850875690102858E-3</v>
      </c>
      <c r="AD120" s="669">
        <f t="shared" si="48"/>
        <v>2.9222663049444087E-2</v>
      </c>
      <c r="AE120" s="661">
        <f t="shared" si="48"/>
        <v>3.7991144626725142E-2</v>
      </c>
      <c r="AF120" s="661">
        <f t="shared" si="48"/>
        <v>5.7725946254510371E-2</v>
      </c>
      <c r="AG120" s="661">
        <f t="shared" si="48"/>
        <v>7.0444038327121192E-2</v>
      </c>
      <c r="AH120" s="661">
        <f t="shared" si="48"/>
        <v>4.8209023626217318E-2</v>
      </c>
      <c r="AI120" s="661">
        <f t="shared" si="48"/>
        <v>3.5854374770493969E-2</v>
      </c>
      <c r="AJ120" s="661">
        <f t="shared" si="48"/>
        <v>4.2552052628954722E-2</v>
      </c>
      <c r="AK120" s="661">
        <f t="shared" si="48"/>
        <v>7.2167156016949507E-2</v>
      </c>
      <c r="AL120" s="661">
        <f t="shared" si="48"/>
        <v>4.0977332604550283E-2</v>
      </c>
      <c r="AM120" s="661" t="str">
        <f t="shared" si="48"/>
        <v>—</v>
      </c>
      <c r="AN120" s="661" t="str">
        <f t="shared" si="48"/>
        <v>—</v>
      </c>
    </row>
    <row r="121" spans="1:40">
      <c r="A121" s="452" t="s">
        <v>80</v>
      </c>
      <c r="B121" s="32"/>
      <c r="C121" s="439">
        <v>18412245.800000001</v>
      </c>
      <c r="D121" s="2">
        <v>5652565</v>
      </c>
      <c r="E121" s="2">
        <v>13837082.5</v>
      </c>
      <c r="F121" s="2">
        <v>4323938.9000000004</v>
      </c>
      <c r="G121" s="2">
        <v>2857957.5</v>
      </c>
      <c r="H121" s="2">
        <v>1775691.1</v>
      </c>
      <c r="I121" s="439">
        <v>46859480.800000004</v>
      </c>
      <c r="J121" s="439">
        <v>12213557</v>
      </c>
      <c r="K121" s="2">
        <v>49246022.480000004</v>
      </c>
      <c r="L121" s="2">
        <v>16807932.350000001</v>
      </c>
      <c r="M121" s="2">
        <v>3838315.49</v>
      </c>
      <c r="N121" s="439">
        <v>82105827.319999993</v>
      </c>
      <c r="O121" s="439">
        <v>3196108.1</v>
      </c>
      <c r="P121" s="2">
        <v>243822.5</v>
      </c>
      <c r="Q121" s="2">
        <v>511109</v>
      </c>
      <c r="R121" s="439">
        <v>3951039.6</v>
      </c>
      <c r="S121" s="439">
        <v>78993</v>
      </c>
      <c r="T121" s="453">
        <v>78993</v>
      </c>
      <c r="W121" s="120"/>
      <c r="X121" s="120"/>
      <c r="Y121" s="120"/>
      <c r="Z121" s="120"/>
      <c r="AA121" s="120"/>
      <c r="AB121" s="120"/>
      <c r="AC121" s="120"/>
      <c r="AD121" s="670"/>
      <c r="AE121" s="120"/>
      <c r="AF121" s="120"/>
      <c r="AG121" s="120"/>
      <c r="AH121" s="120"/>
      <c r="AI121" s="120"/>
      <c r="AJ121" s="120"/>
      <c r="AK121" s="120"/>
      <c r="AL121" s="120"/>
      <c r="AM121" s="120"/>
      <c r="AN121" s="120"/>
    </row>
    <row r="122" spans="1:40">
      <c r="A122" s="452" t="s">
        <v>90</v>
      </c>
      <c r="B122" s="32"/>
      <c r="C122" s="439">
        <v>15017</v>
      </c>
      <c r="D122" s="2">
        <v>34275</v>
      </c>
      <c r="E122" s="2">
        <v>80229</v>
      </c>
      <c r="F122" s="2">
        <v>43473</v>
      </c>
      <c r="G122" s="2">
        <v>19673</v>
      </c>
      <c r="H122" s="2">
        <v>23132</v>
      </c>
      <c r="I122" s="439">
        <v>215799</v>
      </c>
      <c r="J122" s="439">
        <v>66517</v>
      </c>
      <c r="K122" s="2">
        <v>1236297.3999999999</v>
      </c>
      <c r="L122" s="2">
        <v>911011</v>
      </c>
      <c r="M122" s="2">
        <v>257239.19999999998</v>
      </c>
      <c r="N122" s="439">
        <v>2471064.6</v>
      </c>
      <c r="O122" s="439">
        <v>105456.8</v>
      </c>
      <c r="P122" s="2">
        <v>12402.8</v>
      </c>
      <c r="Q122" s="2">
        <v>62615</v>
      </c>
      <c r="R122" s="439">
        <v>180474.6</v>
      </c>
      <c r="S122" s="439">
        <v>0</v>
      </c>
      <c r="T122" s="453">
        <v>0</v>
      </c>
      <c r="W122" s="662"/>
      <c r="X122" s="662"/>
      <c r="Y122" s="662"/>
      <c r="Z122" s="662"/>
      <c r="AA122" s="662"/>
      <c r="AB122" s="662"/>
      <c r="AC122" s="662"/>
      <c r="AD122" s="671"/>
      <c r="AE122" s="662"/>
      <c r="AF122" s="662"/>
      <c r="AG122" s="662"/>
      <c r="AH122" s="662"/>
      <c r="AI122" s="662"/>
      <c r="AJ122" s="662"/>
      <c r="AK122" s="662"/>
      <c r="AL122" s="662"/>
      <c r="AM122" s="662"/>
      <c r="AN122" s="662"/>
    </row>
    <row r="123" spans="1:40">
      <c r="A123" s="452" t="s">
        <v>92</v>
      </c>
      <c r="B123" s="531"/>
      <c r="C123" s="531">
        <v>8.1559849695250102E-4</v>
      </c>
      <c r="D123" s="532">
        <v>6.0636189057534061E-3</v>
      </c>
      <c r="E123" s="532">
        <v>5.7981153180231455E-3</v>
      </c>
      <c r="F123" s="532">
        <v>1.0054027359174756E-2</v>
      </c>
      <c r="G123" s="532">
        <v>6.8835873171661927E-3</v>
      </c>
      <c r="H123" s="532">
        <v>1.3027040570288379E-2</v>
      </c>
      <c r="I123" s="531">
        <v>4.6052366845686426E-3</v>
      </c>
      <c r="J123" s="531">
        <v>5.4461611797447709E-3</v>
      </c>
      <c r="K123" s="532">
        <v>2.5104512765515022E-2</v>
      </c>
      <c r="L123" s="532">
        <v>5.4201253374273603E-2</v>
      </c>
      <c r="M123" s="532">
        <v>6.7018774425965696E-2</v>
      </c>
      <c r="N123" s="531">
        <v>3.0096092818957303E-2</v>
      </c>
      <c r="O123" s="531">
        <v>3.2995379599332075E-2</v>
      </c>
      <c r="P123" s="532">
        <v>5.0868152036830067E-2</v>
      </c>
      <c r="Q123" s="532">
        <v>0.12250811470743031</v>
      </c>
      <c r="R123" s="531">
        <v>4.5677750230597537E-2</v>
      </c>
      <c r="S123" s="531">
        <v>0</v>
      </c>
      <c r="T123" s="533">
        <v>0</v>
      </c>
      <c r="W123" s="661">
        <f t="shared" ref="W123:AN123" si="49">IF(C123&gt;0,C123,"—")</f>
        <v>8.1559849695250102E-4</v>
      </c>
      <c r="X123" s="661">
        <f t="shared" si="49"/>
        <v>6.0636189057534061E-3</v>
      </c>
      <c r="Y123" s="661">
        <f t="shared" si="49"/>
        <v>5.7981153180231455E-3</v>
      </c>
      <c r="Z123" s="661">
        <f t="shared" si="49"/>
        <v>1.0054027359174756E-2</v>
      </c>
      <c r="AA123" s="661">
        <f t="shared" si="49"/>
        <v>6.8835873171661927E-3</v>
      </c>
      <c r="AB123" s="661">
        <f t="shared" si="49"/>
        <v>1.3027040570288379E-2</v>
      </c>
      <c r="AC123" s="661">
        <f t="shared" si="49"/>
        <v>4.6052366845686426E-3</v>
      </c>
      <c r="AD123" s="669">
        <f t="shared" si="49"/>
        <v>5.4461611797447709E-3</v>
      </c>
      <c r="AE123" s="661">
        <f t="shared" si="49"/>
        <v>2.5104512765515022E-2</v>
      </c>
      <c r="AF123" s="661">
        <f t="shared" si="49"/>
        <v>5.4201253374273603E-2</v>
      </c>
      <c r="AG123" s="661">
        <f t="shared" si="49"/>
        <v>6.7018774425965696E-2</v>
      </c>
      <c r="AH123" s="661">
        <f t="shared" si="49"/>
        <v>3.0096092818957303E-2</v>
      </c>
      <c r="AI123" s="661">
        <f t="shared" si="49"/>
        <v>3.2995379599332075E-2</v>
      </c>
      <c r="AJ123" s="661">
        <f t="shared" si="49"/>
        <v>5.0868152036830067E-2</v>
      </c>
      <c r="AK123" s="661">
        <f t="shared" si="49"/>
        <v>0.12250811470743031</v>
      </c>
      <c r="AL123" s="661">
        <f t="shared" si="49"/>
        <v>4.5677750230597537E-2</v>
      </c>
      <c r="AM123" s="661" t="str">
        <f t="shared" si="49"/>
        <v>—</v>
      </c>
      <c r="AN123" s="661" t="str">
        <f t="shared" si="49"/>
        <v>—</v>
      </c>
    </row>
    <row r="124" spans="1:40" ht="13.5" thickBot="1">
      <c r="A124" s="648" t="s">
        <v>952</v>
      </c>
      <c r="B124" s="646"/>
      <c r="C124" s="663">
        <v>1.1549514737118119E-4</v>
      </c>
      <c r="D124" s="663">
        <v>1.7365897955656474E-3</v>
      </c>
      <c r="E124" s="663">
        <v>1.3769216664763261E-3</v>
      </c>
      <c r="F124" s="663">
        <v>3.3041454940161506E-3</v>
      </c>
      <c r="G124" s="663">
        <v>-4.7946608750918177E-4</v>
      </c>
      <c r="H124" s="663">
        <v>-9.6698012271613856E-4</v>
      </c>
      <c r="I124" s="663" t="e">
        <v>#VALUE!</v>
      </c>
      <c r="J124" s="663">
        <v>-2.3776501869699318E-2</v>
      </c>
      <c r="K124" s="663">
        <v>-1.288663186121012E-2</v>
      </c>
      <c r="L124" s="663">
        <v>-3.5246928802367683E-3</v>
      </c>
      <c r="M124" s="663">
        <v>-3.4252639011554953E-3</v>
      </c>
      <c r="N124" s="663" t="e">
        <v>#VALUE!</v>
      </c>
      <c r="O124" s="663">
        <v>-2.8589951711618933E-3</v>
      </c>
      <c r="P124" s="663">
        <v>8.316099407875345E-3</v>
      </c>
      <c r="Q124" s="663">
        <v>5.0340958690480803E-2</v>
      </c>
      <c r="R124" s="663" t="e">
        <v>#VALUE!</v>
      </c>
      <c r="S124" s="663" t="e">
        <v>#VALUE!</v>
      </c>
      <c r="T124" s="663" t="e">
        <v>#VALUE!</v>
      </c>
      <c r="W124" s="664">
        <f t="shared" ref="W124:AN124" si="50">IF(OR((W120="—"),(W123="—")),"—",(W123-W120))</f>
        <v>1.1549514737118119E-4</v>
      </c>
      <c r="X124" s="664">
        <f t="shared" si="50"/>
        <v>1.7365897955656474E-3</v>
      </c>
      <c r="Y124" s="664">
        <f t="shared" si="50"/>
        <v>1.3769216664763261E-3</v>
      </c>
      <c r="Z124" s="664">
        <f t="shared" si="50"/>
        <v>3.3041454940161506E-3</v>
      </c>
      <c r="AA124" s="664">
        <f t="shared" si="50"/>
        <v>-4.7946608750918177E-4</v>
      </c>
      <c r="AB124" s="664">
        <f t="shared" si="50"/>
        <v>-9.6698012271613856E-4</v>
      </c>
      <c r="AC124" s="664">
        <f t="shared" si="50"/>
        <v>1.0201491155583569E-3</v>
      </c>
      <c r="AD124" s="672">
        <f t="shared" si="50"/>
        <v>-2.3776501869699318E-2</v>
      </c>
      <c r="AE124" s="664">
        <f t="shared" si="50"/>
        <v>-1.288663186121012E-2</v>
      </c>
      <c r="AF124" s="664">
        <f t="shared" si="50"/>
        <v>-3.5246928802367683E-3</v>
      </c>
      <c r="AG124" s="664">
        <f t="shared" si="50"/>
        <v>-3.4252639011554953E-3</v>
      </c>
      <c r="AH124" s="664">
        <f t="shared" si="50"/>
        <v>-1.8112930807260015E-2</v>
      </c>
      <c r="AI124" s="664">
        <f t="shared" si="50"/>
        <v>-2.8589951711618933E-3</v>
      </c>
      <c r="AJ124" s="664">
        <f t="shared" si="50"/>
        <v>8.316099407875345E-3</v>
      </c>
      <c r="AK124" s="664">
        <f t="shared" si="50"/>
        <v>5.0340958690480803E-2</v>
      </c>
      <c r="AL124" s="664">
        <f t="shared" si="50"/>
        <v>4.7004176260472541E-3</v>
      </c>
      <c r="AM124" s="664" t="str">
        <f t="shared" si="50"/>
        <v>—</v>
      </c>
      <c r="AN124" s="664" t="str">
        <f t="shared" si="50"/>
        <v>—</v>
      </c>
    </row>
    <row r="125" spans="1:40" ht="15.75" thickBot="1">
      <c r="A125"/>
      <c r="B125"/>
      <c r="C125"/>
      <c r="D125"/>
      <c r="E125"/>
      <c r="F125"/>
      <c r="G125"/>
      <c r="H125"/>
      <c r="I125"/>
      <c r="J125"/>
      <c r="K125"/>
      <c r="L125"/>
      <c r="M125"/>
      <c r="N125"/>
      <c r="O125"/>
      <c r="P125"/>
      <c r="Q125"/>
      <c r="R125"/>
      <c r="S125"/>
      <c r="T125"/>
      <c r="V125" s="665" t="s">
        <v>988</v>
      </c>
      <c r="W125" s="666" t="str">
        <f>IF(COUNT(W123,W116,W109,W102,W95,W88,W81,W74,W67,W60,W53,W46,W39,W32,W25,W18,W11)&lt;&gt;COUNT(W8,W15,W22,W29,W36,W43,W50,W57,W64,W71,W78,W85,W92,W99,W106,W113,W120),"—",W124)</f>
        <v>—</v>
      </c>
      <c r="X125" s="666" t="str">
        <f t="shared" ref="X125:AN125" si="51">IF(COUNT(X123,X116,X109,X102,X95,X88,X81,X74,X67,X60,X53,X46,X39,X32,X25,X18,X11)&lt;&gt;COUNT(X8,X15,X22,X29,X36,X43,X50,X57,X64,X71,X78,X85,X92,X99,X106,X113,X120),"—",X124)</f>
        <v>—</v>
      </c>
      <c r="Y125" s="666" t="str">
        <f t="shared" si="51"/>
        <v>—</v>
      </c>
      <c r="Z125" s="666" t="str">
        <f t="shared" si="51"/>
        <v>—</v>
      </c>
      <c r="AA125" s="666" t="str">
        <f t="shared" si="51"/>
        <v>—</v>
      </c>
      <c r="AB125" s="666" t="str">
        <f t="shared" si="51"/>
        <v>—</v>
      </c>
      <c r="AC125" s="666" t="str">
        <f t="shared" si="51"/>
        <v>—</v>
      </c>
      <c r="AD125" s="673" t="str">
        <f t="shared" si="51"/>
        <v>—</v>
      </c>
      <c r="AE125" s="666" t="str">
        <f t="shared" si="51"/>
        <v>—</v>
      </c>
      <c r="AF125" s="666" t="str">
        <f t="shared" si="51"/>
        <v>—</v>
      </c>
      <c r="AG125" s="666" t="str">
        <f t="shared" si="51"/>
        <v>—</v>
      </c>
      <c r="AH125" s="666" t="str">
        <f t="shared" si="51"/>
        <v>—</v>
      </c>
      <c r="AI125" s="666">
        <f t="shared" si="51"/>
        <v>-2.8589951711618933E-3</v>
      </c>
      <c r="AJ125" s="666">
        <f t="shared" si="51"/>
        <v>8.316099407875345E-3</v>
      </c>
      <c r="AK125" s="666">
        <f t="shared" si="51"/>
        <v>5.0340958690480803E-2</v>
      </c>
      <c r="AL125" s="666">
        <f t="shared" si="51"/>
        <v>4.7004176260472541E-3</v>
      </c>
      <c r="AM125" s="666" t="str">
        <f t="shared" si="51"/>
        <v>—</v>
      </c>
      <c r="AN125" s="667" t="str">
        <f t="shared" si="51"/>
        <v>—</v>
      </c>
    </row>
    <row r="126" spans="1:40">
      <c r="A126"/>
      <c r="B126"/>
      <c r="C126"/>
      <c r="D126"/>
      <c r="E126"/>
      <c r="F126"/>
      <c r="G126"/>
      <c r="H126"/>
      <c r="I126"/>
      <c r="J126"/>
      <c r="K126"/>
      <c r="L126"/>
      <c r="M126"/>
      <c r="N126"/>
      <c r="O126"/>
      <c r="P126"/>
      <c r="Q126"/>
      <c r="R126"/>
      <c r="S126"/>
      <c r="T126"/>
    </row>
    <row r="127" spans="1:40">
      <c r="A127"/>
      <c r="B127"/>
      <c r="C127"/>
      <c r="D127"/>
      <c r="E127"/>
      <c r="F127"/>
      <c r="G127"/>
      <c r="H127"/>
      <c r="I127"/>
      <c r="J127"/>
      <c r="K127"/>
      <c r="L127"/>
      <c r="M127"/>
      <c r="N127"/>
      <c r="O127"/>
      <c r="P127"/>
      <c r="Q127"/>
      <c r="R127"/>
      <c r="S127"/>
      <c r="T127"/>
    </row>
    <row r="128" spans="1:40">
      <c r="A128"/>
      <c r="B128"/>
      <c r="C128"/>
      <c r="D128"/>
      <c r="E128"/>
      <c r="F128"/>
      <c r="G128"/>
      <c r="H128"/>
      <c r="I128"/>
      <c r="J128"/>
      <c r="K128"/>
      <c r="L128"/>
      <c r="M128"/>
      <c r="N128"/>
      <c r="O128"/>
      <c r="P128"/>
      <c r="Q128"/>
      <c r="R128"/>
      <c r="S128"/>
      <c r="T128"/>
    </row>
    <row r="129" spans="1:20">
      <c r="A129"/>
      <c r="B129"/>
      <c r="C129"/>
      <c r="D129"/>
      <c r="E129"/>
      <c r="F129"/>
      <c r="G129"/>
      <c r="H129"/>
      <c r="I129"/>
      <c r="J129"/>
      <c r="K129"/>
      <c r="L129"/>
      <c r="M129"/>
      <c r="N129"/>
      <c r="O129"/>
      <c r="P129"/>
      <c r="Q129"/>
      <c r="R129"/>
      <c r="S129"/>
      <c r="T129"/>
    </row>
    <row r="130" spans="1:20">
      <c r="A130"/>
      <c r="B130"/>
      <c r="C130"/>
      <c r="D130"/>
      <c r="E130"/>
      <c r="F130"/>
      <c r="G130"/>
      <c r="H130"/>
      <c r="I130"/>
      <c r="J130"/>
      <c r="K130"/>
      <c r="L130"/>
      <c r="M130"/>
      <c r="N130"/>
      <c r="O130"/>
      <c r="P130"/>
      <c r="Q130"/>
      <c r="R130"/>
      <c r="S130"/>
      <c r="T130"/>
    </row>
    <row r="131" spans="1:20">
      <c r="A131"/>
      <c r="B131"/>
      <c r="C131"/>
      <c r="D131"/>
      <c r="E131"/>
      <c r="F131"/>
      <c r="G131"/>
      <c r="H131"/>
      <c r="I131"/>
      <c r="J131"/>
      <c r="K131"/>
      <c r="L131"/>
      <c r="M131"/>
      <c r="N131"/>
      <c r="O131"/>
      <c r="P131"/>
      <c r="Q131"/>
      <c r="R131"/>
      <c r="S131"/>
      <c r="T131"/>
    </row>
    <row r="132" spans="1:20">
      <c r="A132"/>
      <c r="B132"/>
      <c r="C132"/>
      <c r="D132"/>
      <c r="E132"/>
      <c r="F132"/>
      <c r="G132"/>
      <c r="H132"/>
      <c r="I132"/>
      <c r="J132"/>
      <c r="K132"/>
      <c r="L132"/>
      <c r="M132"/>
      <c r="N132"/>
      <c r="O132"/>
      <c r="P132"/>
      <c r="Q132"/>
      <c r="R132"/>
      <c r="S132"/>
      <c r="T132"/>
    </row>
    <row r="133" spans="1:20">
      <c r="A133"/>
      <c r="B133"/>
      <c r="C133"/>
      <c r="D133"/>
      <c r="E133"/>
      <c r="F133"/>
      <c r="G133"/>
      <c r="H133"/>
      <c r="I133"/>
      <c r="J133"/>
      <c r="K133"/>
      <c r="L133"/>
      <c r="M133"/>
      <c r="N133"/>
      <c r="O133"/>
      <c r="P133"/>
      <c r="Q133"/>
      <c r="R133"/>
      <c r="S133"/>
      <c r="T133"/>
    </row>
    <row r="134" spans="1:20">
      <c r="A134"/>
      <c r="B134"/>
      <c r="C134"/>
      <c r="D134"/>
      <c r="E134"/>
      <c r="F134"/>
      <c r="G134"/>
      <c r="H134"/>
      <c r="I134"/>
      <c r="J134"/>
      <c r="K134"/>
      <c r="L134"/>
      <c r="M134"/>
      <c r="N134"/>
      <c r="O134"/>
      <c r="P134"/>
      <c r="Q134"/>
      <c r="R134"/>
      <c r="S134"/>
      <c r="T134"/>
    </row>
    <row r="135" spans="1:20">
      <c r="A135"/>
      <c r="B135"/>
      <c r="C135"/>
      <c r="D135"/>
      <c r="E135"/>
      <c r="F135"/>
      <c r="G135"/>
      <c r="H135"/>
      <c r="I135"/>
      <c r="J135"/>
      <c r="K135"/>
      <c r="L135"/>
      <c r="M135"/>
      <c r="N135"/>
      <c r="O135"/>
      <c r="P135"/>
      <c r="Q135"/>
      <c r="R135"/>
      <c r="S135"/>
      <c r="T135"/>
    </row>
    <row r="136" spans="1:20">
      <c r="A136"/>
      <c r="B136"/>
      <c r="C136"/>
      <c r="D136"/>
      <c r="E136"/>
      <c r="F136"/>
      <c r="G136"/>
      <c r="H136"/>
      <c r="I136"/>
      <c r="J136"/>
      <c r="K136"/>
      <c r="L136"/>
      <c r="M136"/>
      <c r="N136"/>
      <c r="O136"/>
      <c r="P136"/>
      <c r="Q136"/>
      <c r="R136"/>
      <c r="S136"/>
      <c r="T136"/>
    </row>
    <row r="137" spans="1:20">
      <c r="A137"/>
      <c r="B137"/>
      <c r="C137"/>
      <c r="D137"/>
      <c r="E137"/>
      <c r="F137"/>
      <c r="G137"/>
      <c r="H137"/>
      <c r="I137"/>
      <c r="J137"/>
      <c r="K137"/>
      <c r="L137"/>
      <c r="M137"/>
      <c r="N137"/>
      <c r="O137"/>
      <c r="P137"/>
      <c r="Q137"/>
      <c r="R137"/>
      <c r="S137"/>
      <c r="T137"/>
    </row>
    <row r="138" spans="1:20">
      <c r="A138"/>
      <c r="B138"/>
      <c r="C138"/>
      <c r="D138"/>
      <c r="E138"/>
      <c r="F138"/>
      <c r="G138"/>
      <c r="H138"/>
      <c r="I138"/>
      <c r="J138"/>
      <c r="K138"/>
      <c r="L138"/>
      <c r="M138"/>
      <c r="N138"/>
      <c r="O138"/>
      <c r="P138"/>
      <c r="Q138"/>
      <c r="R138"/>
      <c r="S138"/>
      <c r="T138"/>
    </row>
    <row r="139" spans="1:20">
      <c r="A139"/>
      <c r="B139"/>
      <c r="C139"/>
      <c r="D139"/>
      <c r="E139"/>
      <c r="F139"/>
      <c r="G139"/>
      <c r="H139"/>
      <c r="I139"/>
      <c r="J139"/>
      <c r="K139"/>
      <c r="L139"/>
      <c r="M139"/>
      <c r="N139"/>
      <c r="O139"/>
      <c r="P139"/>
      <c r="Q139"/>
      <c r="R139"/>
      <c r="S139"/>
      <c r="T139"/>
    </row>
    <row r="140" spans="1:20">
      <c r="A140"/>
      <c r="B140"/>
      <c r="C140"/>
      <c r="D140"/>
      <c r="E140"/>
      <c r="F140"/>
      <c r="G140"/>
      <c r="H140"/>
      <c r="I140"/>
      <c r="J140"/>
      <c r="K140"/>
      <c r="L140"/>
      <c r="M140"/>
      <c r="N140"/>
      <c r="O140"/>
      <c r="P140"/>
      <c r="Q140"/>
      <c r="R140"/>
      <c r="S140"/>
      <c r="T140"/>
    </row>
    <row r="141" spans="1:20">
      <c r="A141"/>
      <c r="B141"/>
      <c r="C141"/>
      <c r="D141"/>
      <c r="E141"/>
      <c r="F141"/>
      <c r="G141"/>
      <c r="H141"/>
      <c r="I141"/>
      <c r="J141"/>
      <c r="K141"/>
      <c r="L141"/>
      <c r="M141"/>
      <c r="N141"/>
      <c r="O141"/>
      <c r="P141"/>
      <c r="Q141"/>
      <c r="R141"/>
      <c r="S141"/>
      <c r="T141"/>
    </row>
  </sheetData>
  <phoneticPr fontId="0" type="noConversion"/>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SCH Data</vt:lpstr>
      <vt:lpstr>Tables</vt:lpstr>
      <vt:lpstr>FTE Pivot for regular counts</vt:lpstr>
      <vt:lpstr>Sheet1</vt:lpstr>
      <vt:lpstr>Sheet2</vt:lpstr>
      <vt:lpstr>Pivot-HS Student % of Undergrad</vt:lpstr>
      <vt:lpstr>'SCH Data'!Dual07</vt:lpstr>
      <vt:lpstr>'SCH Data'!Dual08</vt:lpstr>
      <vt:lpstr>'SCH Data'!JrCH08ug1</vt:lpstr>
      <vt:lpstr>'SCH Data'!JrCH08ug2</vt:lpstr>
      <vt:lpstr>'SCH Data'!JrCH08ug3</vt:lpstr>
      <vt:lpstr>'SCH Data'!JrCH08ug4</vt:lpstr>
      <vt:lpstr>'SCH Data'!JrSCH08ug1</vt:lpstr>
      <vt:lpstr>'SCH Data'!JrSCH08ug2</vt:lpstr>
      <vt:lpstr>'SCH Data'!JrSCH08ug3</vt:lpstr>
      <vt:lpstr>'SCH Data'!JrSCH08ug4</vt:lpstr>
      <vt:lpstr>'FTE Pivot for regular counts'!Print_Area</vt:lpstr>
      <vt:lpstr>'Pivot-HS Student % of Undergrad'!Print_Area</vt:lpstr>
      <vt:lpstr>Tables!Print_Area</vt:lpstr>
      <vt:lpstr>'FTE Pivot for regular counts'!Print_Titles</vt:lpstr>
      <vt:lpstr>'Pivot-HS Student % of Undergrad'!Print_Titles</vt:lpstr>
      <vt:lpstr>'SCH Data'!Print_Titles</vt:lpstr>
      <vt:lpstr>'SCH Data'!SrSCH08gr2</vt:lpstr>
      <vt:lpstr>'SCH Data'!SrSCH08gr3</vt:lpstr>
      <vt:lpstr>'SCH Data'!SrSCH08gr4</vt:lpstr>
      <vt:lpstr>'SCH Data'!SrSCH08ug2</vt:lpstr>
      <vt:lpstr>'SCH Data'!SrSCH08ug3</vt:lpstr>
      <vt:lpstr>'SCH Data'!SrSCH08ug4</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2010-02-08T15:24:44Z</cp:lastPrinted>
  <dcterms:created xsi:type="dcterms:W3CDTF">1999-02-24T13:58:47Z</dcterms:created>
  <dcterms:modified xsi:type="dcterms:W3CDTF">2010-03-26T13:40:44Z</dcterms:modified>
</cp:coreProperties>
</file>